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ocuments\Going Public\Publications\2016 - Published\Peng OFR P2 - Non-Trop\ACPD Revisions\"/>
    </mc:Choice>
  </mc:AlternateContent>
  <bookViews>
    <workbookView xWindow="0" yWindow="0" windowWidth="12000" windowHeight="6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57" i="1" s="1"/>
  <c r="B68" i="1" l="1"/>
  <c r="H45" i="1"/>
  <c r="K45" i="1" s="1"/>
  <c r="B42" i="1"/>
  <c r="H103" i="1" l="1"/>
  <c r="H101" i="1"/>
  <c r="L99" i="1"/>
  <c r="H105" i="1"/>
  <c r="H97" i="1"/>
  <c r="I97" i="1"/>
  <c r="H85" i="1"/>
  <c r="M81" i="1" s="1"/>
  <c r="H89" i="1" s="1"/>
  <c r="H87" i="1"/>
  <c r="I85" i="1"/>
  <c r="L69" i="1"/>
  <c r="L67" i="1"/>
  <c r="H73" i="1"/>
  <c r="H71" i="1"/>
  <c r="H65" i="1"/>
  <c r="H75" i="1"/>
  <c r="O67" i="1" l="1"/>
  <c r="P67" i="1" s="1"/>
  <c r="U67" i="1"/>
  <c r="V67" i="1" s="1"/>
  <c r="R67" i="1"/>
  <c r="S67" i="1" s="1"/>
  <c r="O69" i="1"/>
  <c r="P69" i="1" s="1"/>
  <c r="U69" i="1"/>
  <c r="V69" i="1" s="1"/>
  <c r="R69" i="1"/>
  <c r="S69" i="1" s="1"/>
  <c r="U99" i="1"/>
  <c r="V99" i="1" s="1"/>
  <c r="R99" i="1"/>
  <c r="S99" i="1" s="1"/>
  <c r="O99" i="1"/>
  <c r="P99" i="1" s="1"/>
  <c r="H99" i="1"/>
  <c r="H93" i="1"/>
  <c r="H91" i="1"/>
  <c r="H69" i="1"/>
  <c r="L87" i="1"/>
  <c r="R87" i="1" l="1"/>
  <c r="S87" i="1" s="1"/>
  <c r="O87" i="1"/>
  <c r="P87" i="1" s="1"/>
  <c r="U87" i="1"/>
  <c r="V87" i="1" s="1"/>
  <c r="L71" i="1"/>
  <c r="H55" i="1"/>
  <c r="H59" i="1"/>
  <c r="L93" i="1"/>
  <c r="L91" i="1"/>
  <c r="L89" i="1"/>
  <c r="H67" i="1"/>
  <c r="E73" i="1" s="1"/>
  <c r="U71" i="1" l="1"/>
  <c r="O71" i="1"/>
  <c r="S71" i="1"/>
  <c r="R71" i="1"/>
  <c r="V71" i="1"/>
  <c r="P71" i="1"/>
  <c r="S91" i="1"/>
  <c r="R91" i="1"/>
  <c r="V91" i="1"/>
  <c r="P91" i="1"/>
  <c r="U91" i="1"/>
  <c r="O91" i="1"/>
  <c r="V93" i="1"/>
  <c r="P93" i="1"/>
  <c r="U93" i="1"/>
  <c r="O93" i="1"/>
  <c r="S93" i="1"/>
  <c r="R93" i="1"/>
  <c r="V89" i="1"/>
  <c r="P89" i="1"/>
  <c r="U89" i="1"/>
  <c r="O89" i="1"/>
  <c r="S89" i="1"/>
  <c r="R89" i="1"/>
  <c r="L75" i="1"/>
  <c r="L73" i="1"/>
  <c r="E57" i="1"/>
  <c r="H53" i="1"/>
  <c r="R73" i="1" l="1"/>
  <c r="V73" i="1"/>
  <c r="P73" i="1"/>
  <c r="U73" i="1"/>
  <c r="O73" i="1"/>
  <c r="S73" i="1"/>
  <c r="V75" i="1"/>
  <c r="U75" i="1"/>
  <c r="O75" i="1"/>
  <c r="S75" i="1"/>
  <c r="R75" i="1"/>
  <c r="P75" i="1"/>
  <c r="E91" i="1"/>
  <c r="H51" i="1" l="1"/>
  <c r="L57" i="1" l="1"/>
  <c r="L103" i="1"/>
  <c r="L53" i="1"/>
  <c r="U53" i="1" s="1"/>
  <c r="V53" i="1" s="1"/>
  <c r="L59" i="1"/>
  <c r="L61" i="1"/>
  <c r="L55" i="1"/>
  <c r="P59" i="1" l="1"/>
  <c r="V59" i="1"/>
  <c r="S59" i="1"/>
  <c r="O61" i="1"/>
  <c r="S61" i="1"/>
  <c r="P61" i="1"/>
  <c r="V61" i="1"/>
  <c r="U57" i="1"/>
  <c r="V57" i="1"/>
  <c r="S57" i="1"/>
  <c r="P57" i="1"/>
  <c r="R103" i="1"/>
  <c r="V103" i="1"/>
  <c r="P103" i="1"/>
  <c r="U103" i="1"/>
  <c r="O103" i="1"/>
  <c r="S103" i="1"/>
  <c r="R59" i="1"/>
  <c r="O59" i="1"/>
  <c r="L101" i="1"/>
  <c r="L105" i="1"/>
  <c r="R61" i="1"/>
  <c r="U61" i="1"/>
  <c r="R55" i="1"/>
  <c r="S55" i="1" s="1"/>
  <c r="U55" i="1"/>
  <c r="V55" i="1" s="1"/>
  <c r="O55" i="1"/>
  <c r="P55" i="1" s="1"/>
  <c r="U59" i="1"/>
  <c r="O53" i="1"/>
  <c r="R53" i="1"/>
  <c r="S53" i="1" s="1"/>
  <c r="R57" i="1"/>
  <c r="O57" i="1"/>
  <c r="P53" i="1" l="1"/>
  <c r="U105" i="1"/>
  <c r="O105" i="1"/>
  <c r="S105" i="1"/>
  <c r="R105" i="1"/>
  <c r="V105" i="1"/>
  <c r="P105" i="1"/>
  <c r="U101" i="1"/>
  <c r="O101" i="1"/>
  <c r="S101" i="1"/>
  <c r="R101" i="1"/>
  <c r="V101" i="1"/>
  <c r="P101" i="1"/>
</calcChain>
</file>

<file path=xl/sharedStrings.xml><?xml version="1.0" encoding="utf-8"?>
<sst xmlns="http://schemas.openxmlformats.org/spreadsheetml/2006/main" count="242" uniqueCount="125">
  <si>
    <t>Water vapor mixing ratio (unitless)</t>
  </si>
  <si>
    <t>External OH reactivity</t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</si>
  <si>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</si>
  <si>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OFR185</t>
  </si>
  <si>
    <t>If photon flux at 185 is known</t>
  </si>
  <si>
    <r>
      <t>photons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</si>
  <si>
    <t>Outputs</t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</si>
  <si>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exposure</t>
    </r>
  </si>
  <si>
    <r>
      <t>molecules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s</t>
    </r>
  </si>
  <si>
    <t>OH exposure</t>
  </si>
  <si>
    <r>
      <t>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 exposure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</si>
  <si>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 exposure</t>
    </r>
  </si>
  <si>
    <r>
      <t>cm 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</si>
  <si>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molecules cm</t>
    </r>
    <r>
      <rPr>
        <vertAlign val="superscript"/>
        <sz val="11"/>
        <color theme="1"/>
        <rFont val="Calibri"/>
        <family val="2"/>
        <scheme val="minor"/>
      </rPr>
      <t>-3</t>
    </r>
  </si>
  <si>
    <t>OFR254</t>
  </si>
  <si>
    <r>
      <t>Initial 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concentration</t>
    </r>
  </si>
  <si>
    <t>ppm</t>
  </si>
  <si>
    <r>
      <t>rO</t>
    </r>
    <r>
      <rPr>
        <vertAlign val="subscript"/>
        <sz val="11"/>
        <color theme="1"/>
        <rFont val="Calibri"/>
        <family val="2"/>
        <scheme val="minor"/>
      </rPr>
      <t>3</t>
    </r>
  </si>
  <si>
    <t>Common inputs</t>
  </si>
  <si>
    <t>Input</t>
  </si>
  <si>
    <t>Output</t>
  </si>
  <si>
    <r>
      <t>Output 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concentration</t>
    </r>
  </si>
  <si>
    <r>
      <t>and output O</t>
    </r>
    <r>
      <rPr>
        <b/>
        <vertAlign val="sub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 xml:space="preserve"> (rO</t>
    </r>
    <r>
      <rPr>
        <b/>
        <vertAlign val="sub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) is known</t>
    </r>
  </si>
  <si>
    <t xml:space="preserve">If ratio between input </t>
  </si>
  <si>
    <r>
      <t>average O</t>
    </r>
    <r>
      <rPr>
        <b/>
        <vertAlign val="sub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 xml:space="preserve"> concentration) is known</t>
    </r>
  </si>
  <si>
    <r>
      <t>If output O</t>
    </r>
    <r>
      <rPr>
        <b/>
        <vertAlign val="sub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 xml:space="preserve"> concentration (~x2</t>
    </r>
  </si>
  <si>
    <t>Residence time</t>
  </si>
  <si>
    <t>s</t>
  </si>
  <si>
    <t>If photon flux at 254 is known</t>
  </si>
  <si>
    <t>Photon flux at 254 nm</t>
  </si>
  <si>
    <t>Photon flux at 185 nm</t>
  </si>
  <si>
    <t xml:space="preserve">a) Based on estimation equations in: </t>
  </si>
  <si>
    <t xml:space="preserve">http://pubs.acs.org/doi/abs/10.1021/jp509534k </t>
  </si>
  <si>
    <t xml:space="preserve">http://www.atmos-meas-tech.net/8/4863/2015/ </t>
  </si>
  <si>
    <t>OR</t>
  </si>
  <si>
    <t>(0.0007–0.023)</t>
  </si>
  <si>
    <r>
      <t>(1–1000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</si>
  <si>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(10–1000 s)</t>
  </si>
  <si>
    <r>
      <t>(1E+11–1E+14 photons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</si>
  <si>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(5E+11–2E+15 molecules cm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</si>
  <si>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t>(7–70 ppm)</t>
  </si>
  <si>
    <r>
      <t>(4E+13–9E+15 photon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</si>
  <si>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(0.02–0.99)</t>
  </si>
  <si>
    <t>b) Residence time also included as input.</t>
  </si>
  <si>
    <t>Due to a typo in the earlier papers, only the equations of Peng et al. (2016) should be used.</t>
  </si>
  <si>
    <t>ii) Peng et al. Atoms. Meas. Tech., 2015, 8, 4863;</t>
  </si>
  <si>
    <t>i) Li et al. J. Phys. Chem. A, 2015, 119, 4418;</t>
  </si>
  <si>
    <t>Condition type</t>
  </si>
  <si>
    <t>Safer</t>
  </si>
  <si>
    <t>Transition</t>
  </si>
  <si>
    <t>Riskier</t>
  </si>
  <si>
    <t>Legend</t>
  </si>
  <si>
    <t>Exposure ratios</t>
  </si>
  <si>
    <t>185 nm photon flux / OH</t>
  </si>
  <si>
    <t>254 nm photon flux / OH</t>
  </si>
  <si>
    <r>
      <t>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 / OH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</si>
  <si>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 / OH</t>
    </r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</si>
  <si>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OH</t>
    </r>
  </si>
  <si>
    <r>
      <t>photons cm</t>
    </r>
    <r>
      <rPr>
        <vertAlign val="superscript"/>
        <sz val="11"/>
        <color theme="1"/>
        <rFont val="Calibri"/>
        <family val="2"/>
        <scheme val="minor"/>
      </rPr>
      <t>-2</t>
    </r>
  </si>
  <si>
    <t xml:space="preserve">185 nm photon flux exposure </t>
  </si>
  <si>
    <t xml:space="preserve">254 nm photon flux exposure </t>
  </si>
  <si>
    <t>VOC fate [fate by non-OH reactant / (fate by non-OH reactant + fate by OH)]</t>
  </si>
  <si>
    <t>Non-OH reactant - VOC</t>
  </si>
  <si>
    <t>185 nm photon - benzene</t>
  </si>
  <si>
    <t>185 nm photon - limonene</t>
  </si>
  <si>
    <t>254 nm photon - acetylacetone</t>
  </si>
  <si>
    <t>185 nm photon - methylethylketone</t>
  </si>
  <si>
    <t>254 nm photon - toluene</t>
  </si>
  <si>
    <t>254 nm photon - glyoxal</t>
  </si>
  <si>
    <r>
      <t>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 - methane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</si>
  <si>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 - ethane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</si>
  <si>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 - isoprene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</si>
  <si>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 - isoprene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</si>
  <si>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 - ethene</t>
    </r>
  </si>
  <si>
    <r>
      <t>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 - benzene</t>
    </r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</si>
  <si>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</rPr>
      <t>α-terpinene</t>
    </r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</si>
  <si>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</rPr>
      <t>α-pinene</t>
    </r>
  </si>
  <si>
    <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</rPr>
      <t>isoprene</t>
    </r>
  </si>
  <si>
    <t>ppb</t>
  </si>
  <si>
    <t xml:space="preserve">     and with Teflon sleeves for OFR185 mode and quartz sleeves for OFR254 mode. The accuracy of the absolute exposures is expected to</t>
  </si>
  <si>
    <t xml:space="preserve">     guidance for experimental design.</t>
  </si>
  <si>
    <t xml:space="preserve">     equations.</t>
  </si>
  <si>
    <t xml:space="preserve">     be about a factor of 3 for the identical setup and conditions.  Individual lamps and reactor flow setups can vary, and the results from</t>
  </si>
  <si>
    <t xml:space="preserve">     specific calibrations, and especially for reactors of other designs, results from this spreadsheet may be useful as  semi-quantitative </t>
  </si>
  <si>
    <t>https://sites.google.com/site/pamwiki/hardware/estimation-equations</t>
  </si>
  <si>
    <t xml:space="preserve">     this spreadsheet should be taken as estimates. Calibration of OH exposure for your specific reactor is necessary for more accurate</t>
  </si>
  <si>
    <t xml:space="preserve">     results for that variable. Because the exposures to different reactants are correlated, errors in exposure ratios should be lower. Without</t>
  </si>
  <si>
    <t xml:space="preserve">     be problematic.</t>
  </si>
  <si>
    <t xml:space="preserve">     goals of specific experiments may be different.</t>
  </si>
  <si>
    <t xml:space="preserve">     ambient, yellow otherwise).</t>
  </si>
  <si>
    <t xml:space="preserve">c) Equations and ppb conversions are derived for pressure in Boulder, CO, USA (835 mbar) and 22C (295K). Changes for sea level pressure </t>
  </si>
  <si>
    <t>d) These equations assume plug flow. The effect of a different residence time distribution can be estimated by running the spreadsheet</t>
  </si>
  <si>
    <t>e) Enter values within the range noted for each input. Out-of-range inputs may lead to meaningless results or errors.</t>
  </si>
  <si>
    <t>f) These estimation equations have been developed for the 13 Liter PAM OFR, using 2 low-pressure Hg lamps (BHK model 82-9304-03),</t>
  </si>
  <si>
    <t>g) Refer to Figs. 1-5 and 8 (and Figs. S1-S5) of Peng et al. ACP 2016 for guidance on evaluating whether (ratios between) exposures could</t>
  </si>
  <si>
    <t>l) Questions? Email zhe.peng@colorado.edu, zhe.peng0401@gmail.com, or jose.jimenez@colorado.edu.</t>
  </si>
  <si>
    <t>m) This spreadsheet is password-protected to avoid inadvertent changes. Password to unprotect: ofree</t>
  </si>
  <si>
    <t>n) Updates to this spreadsheet will be published in the PAM Wiki at:</t>
  </si>
  <si>
    <t>Relative humidity</t>
  </si>
  <si>
    <t>(not used elsewhere in spreadsheet)</t>
  </si>
  <si>
    <t>A given species as external OH reactant</t>
  </si>
  <si>
    <t>Rate constant of reaction with OH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</si>
  <si>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molecule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</si>
  <si>
    <t>Concentration</t>
  </si>
  <si>
    <t>other conditions</t>
  </si>
  <si>
    <t>water mixing ratio&gt;0.8% and external</t>
  </si>
  <si>
    <r>
      <t>OH reactivity&lt;30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and photon flux at </t>
    </r>
  </si>
  <si>
    <t>water mixing ratio&lt;0.1% or external OH</t>
  </si>
  <si>
    <r>
      <t xml:space="preserve"> reactivity≥100 s</t>
    </r>
    <r>
      <rPr>
        <vertAlign val="superscript"/>
        <sz val="11"/>
        <color theme="1"/>
        <rFont val="Calibri"/>
        <family val="2"/>
        <scheme val="minor"/>
      </rPr>
      <t>-1</t>
    </r>
  </si>
  <si>
    <t>water mixing ratio&gt;0.5% and external</t>
  </si>
  <si>
    <r>
      <t>OH reactivity&lt;50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</si>
  <si>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reactivity&gt;200 s</t>
    </r>
    <r>
      <rPr>
        <vertAlign val="superscript"/>
        <sz val="11"/>
        <color theme="1"/>
        <rFont val="Calibri"/>
        <family val="2"/>
        <scheme val="minor"/>
      </rPr>
      <t>-1</t>
    </r>
  </si>
  <si>
    <t>j) Output of relative exposures (OH/other) are colored green if OH dominates, change towards red as the other species dominates. The</t>
  </si>
  <si>
    <t xml:space="preserve">    * According to the definition of condition types in Peng et al. ACP 2016</t>
  </si>
  <si>
    <r>
      <t>185 nm&gt;1E+12 photons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</si>
  <si>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k) For O(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D), O(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P), and 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the TEXT output is colored compared to typical ambient ratios (green if within 1 order of magnitude of</t>
    </r>
  </si>
  <si>
    <t>Oxidation Flow Reactor (OFR) exposure estimator (v2)</t>
  </si>
  <si>
    <t>iii) Peng et al. Atmos. Chem. Phys., 2016, in press.</t>
  </si>
  <si>
    <t>http://www.atmos-chem-phys-discuss.net/15/23543/2015/</t>
  </si>
  <si>
    <t xml:space="preserve">     or other temperatures are ~10-20% (see Fig. 6 in Li et al., JPCA 2015), which is smaller than the expected accuracy of these estimation</t>
  </si>
  <si>
    <t xml:space="preserve">     for several residence times and calculating the weighed average of the outputs. See also Peng et al. (2015).</t>
  </si>
  <si>
    <t>A formal correction will be published correcting the typo on the earlier papers.</t>
  </si>
  <si>
    <t>h) VOC fate by photolysis is calculated under the assumption of unity quantum yield to provide an upper limit.</t>
  </si>
  <si>
    <t>i) Condition type, classified according to physical inputs (not outputs), does not perfectly delineate the relative importance of non-OH reactants.</t>
  </si>
  <si>
    <t>o) An IGOR version is forthcoming, that will allow easier operation on time series of inputs. Please email us if this version if of high interest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</si>
</sst>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000"/>
  </numFmts>
  <fonts count="1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15">
    <xf numFmtId="0" fontId="0" fillId="0" borderId="0" xfId="0"/>
    <xf numFmtId="1" fontId="0" fillId="7" borderId="6" xfId="0" applyNumberForma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0" fillId="0" borderId="0" xfId="0" applyProtection="1"/>
    <xf numFmtId="0" fontId="8" fillId="0" borderId="0" xfId="1" applyProtection="1"/>
    <xf numFmtId="0" fontId="0" fillId="2" borderId="0" xfId="0" applyFill="1" applyProtection="1"/>
    <xf numFmtId="0" fontId="0" fillId="0" borderId="0" xfId="0" quotePrefix="1" applyFill="1" applyProtection="1"/>
    <xf numFmtId="0" fontId="0" fillId="0" borderId="0" xfId="0" applyFill="1" applyProtection="1"/>
    <xf numFmtId="0" fontId="4" fillId="4" borderId="1" xfId="0" applyFont="1" applyFill="1" applyBorder="1" applyAlignment="1" applyProtection="1">
      <alignment horizontal="center"/>
    </xf>
    <xf numFmtId="0" fontId="0" fillId="0" borderId="6" xfId="0" applyBorder="1" applyProtection="1"/>
    <xf numFmtId="164" fontId="0" fillId="0" borderId="0" xfId="0" applyNumberFormat="1" applyFill="1" applyBorder="1" applyProtection="1"/>
    <xf numFmtId="0" fontId="0" fillId="0" borderId="0" xfId="0" applyBorder="1" applyAlignment="1" applyProtection="1">
      <alignment horizontal="left"/>
    </xf>
    <xf numFmtId="0" fontId="9" fillId="0" borderId="0" xfId="0" applyFont="1" applyProtection="1"/>
    <xf numFmtId="0" fontId="0" fillId="0" borderId="0" xfId="0" quotePrefix="1" applyProtection="1"/>
    <xf numFmtId="164" fontId="0" fillId="0" borderId="1" xfId="0" applyNumberFormat="1" applyBorder="1" applyAlignment="1" applyProtection="1"/>
    <xf numFmtId="0" fontId="0" fillId="0" borderId="0" xfId="0" applyBorder="1" applyProtection="1"/>
    <xf numFmtId="0" fontId="0" fillId="0" borderId="7" xfId="0" applyBorder="1" applyAlignment="1" applyProtection="1"/>
    <xf numFmtId="0" fontId="0" fillId="0" borderId="0" xfId="0" applyBorder="1" applyAlignment="1" applyProtection="1">
      <alignment horizontal="center"/>
    </xf>
    <xf numFmtId="9" fontId="0" fillId="3" borderId="1" xfId="2" applyFont="1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/>
    <xf numFmtId="9" fontId="0" fillId="3" borderId="1" xfId="2" applyNumberFormat="1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1" xfId="0" applyBorder="1" applyProtection="1"/>
    <xf numFmtId="164" fontId="0" fillId="3" borderId="1" xfId="0" applyNumberFormat="1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11" fontId="0" fillId="0" borderId="0" xfId="0" applyNumberFormat="1" applyFill="1" applyProtection="1"/>
    <xf numFmtId="11" fontId="0" fillId="0" borderId="0" xfId="0" applyNumberForma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4" fillId="7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9" fontId="0" fillId="0" borderId="0" xfId="2" applyFont="1" applyFill="1" applyBorder="1" applyProtection="1"/>
    <xf numFmtId="164" fontId="0" fillId="0" borderId="2" xfId="0" applyNumberFormat="1" applyFill="1" applyBorder="1" applyAlignment="1" applyProtection="1">
      <alignment horizontal="left"/>
    </xf>
    <xf numFmtId="164" fontId="0" fillId="0" borderId="3" xfId="0" applyNumberForma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164" fontId="0" fillId="0" borderId="1" xfId="0" applyNumberFormat="1" applyBorder="1" applyAlignment="1" applyProtection="1">
      <alignment horizontal="left"/>
    </xf>
    <xf numFmtId="164" fontId="0" fillId="3" borderId="2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7" borderId="11" xfId="0" applyNumberFormat="1" applyFill="1" applyBorder="1" applyAlignment="1" applyProtection="1">
      <alignment horizontal="center"/>
      <protection locked="0"/>
    </xf>
    <xf numFmtId="1" fontId="0" fillId="7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1" fontId="0" fillId="0" borderId="11" xfId="0" applyNumberFormat="1" applyBorder="1" applyAlignment="1" applyProtection="1">
      <alignment horizontal="center"/>
    </xf>
    <xf numFmtId="164" fontId="0" fillId="7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165" fontId="0" fillId="7" borderId="6" xfId="0" applyNumberForma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2" fontId="0" fillId="7" borderId="11" xfId="0" applyNumberFormat="1" applyFill="1" applyBorder="1" applyAlignment="1" applyProtection="1">
      <alignment horizontal="center"/>
      <protection locked="0"/>
    </xf>
    <xf numFmtId="2" fontId="0" fillId="7" borderId="5" xfId="0" applyNumberFormat="1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9" fontId="0" fillId="3" borderId="2" xfId="0" applyNumberFormat="1" applyFill="1" applyBorder="1" applyAlignment="1" applyProtection="1">
      <alignment horizontal="center"/>
    </xf>
    <xf numFmtId="9" fontId="0" fillId="3" borderId="4" xfId="0" applyNumberFormat="1" applyFill="1" applyBorder="1" applyAlignment="1" applyProtection="1">
      <alignment horizontal="center"/>
    </xf>
    <xf numFmtId="9" fontId="0" fillId="3" borderId="3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164" fontId="0" fillId="7" borderId="2" xfId="0" applyNumberFormat="1" applyFill="1" applyBorder="1" applyAlignment="1" applyProtection="1">
      <alignment horizontal="center"/>
      <protection locked="0"/>
    </xf>
    <xf numFmtId="164" fontId="0" fillId="7" borderId="4" xfId="0" applyNumberFormat="1" applyFill="1" applyBorder="1" applyAlignment="1" applyProtection="1">
      <alignment horizontal="center"/>
      <protection locked="0"/>
    </xf>
    <xf numFmtId="164" fontId="0" fillId="7" borderId="3" xfId="0" applyNumberForma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97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  <color rgb="FFFF9966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48</xdr:row>
      <xdr:rowOff>208257</xdr:rowOff>
    </xdr:from>
    <xdr:to>
      <xdr:col>6</xdr:col>
      <xdr:colOff>555625</xdr:colOff>
      <xdr:row>50</xdr:row>
      <xdr:rowOff>47000</xdr:rowOff>
    </xdr:to>
    <xdr:sp macro="" textlink="">
      <xdr:nvSpPr>
        <xdr:cNvPr id="2" name="Right Arrow 1"/>
        <xdr:cNvSpPr/>
      </xdr:nvSpPr>
      <xdr:spPr>
        <a:xfrm>
          <a:off x="3690938" y="4685007"/>
          <a:ext cx="508000" cy="326899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51301</xdr:colOff>
      <xdr:row>63</xdr:row>
      <xdr:rowOff>229479</xdr:rowOff>
    </xdr:from>
    <xdr:to>
      <xdr:col>6</xdr:col>
      <xdr:colOff>559301</xdr:colOff>
      <xdr:row>65</xdr:row>
      <xdr:rowOff>52347</xdr:rowOff>
    </xdr:to>
    <xdr:sp macro="" textlink="">
      <xdr:nvSpPr>
        <xdr:cNvPr id="3" name="Right Arrow 2"/>
        <xdr:cNvSpPr/>
      </xdr:nvSpPr>
      <xdr:spPr>
        <a:xfrm>
          <a:off x="3694614" y="6313573"/>
          <a:ext cx="508000" cy="33483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48923</xdr:colOff>
      <xdr:row>82</xdr:row>
      <xdr:rowOff>191373</xdr:rowOff>
    </xdr:from>
    <xdr:to>
      <xdr:col>6</xdr:col>
      <xdr:colOff>556923</xdr:colOff>
      <xdr:row>84</xdr:row>
      <xdr:rowOff>49960</xdr:rowOff>
    </xdr:to>
    <xdr:sp macro="" textlink="">
      <xdr:nvSpPr>
        <xdr:cNvPr id="6" name="Right Arrow 5"/>
        <xdr:cNvSpPr/>
      </xdr:nvSpPr>
      <xdr:spPr>
        <a:xfrm>
          <a:off x="3692236" y="8918654"/>
          <a:ext cx="508000" cy="33483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46545</xdr:colOff>
      <xdr:row>95</xdr:row>
      <xdr:rowOff>212799</xdr:rowOff>
    </xdr:from>
    <xdr:to>
      <xdr:col>6</xdr:col>
      <xdr:colOff>554545</xdr:colOff>
      <xdr:row>97</xdr:row>
      <xdr:rowOff>47574</xdr:rowOff>
    </xdr:to>
    <xdr:sp macro="" textlink="">
      <xdr:nvSpPr>
        <xdr:cNvPr id="7" name="Right Arrow 6"/>
        <xdr:cNvSpPr/>
      </xdr:nvSpPr>
      <xdr:spPr>
        <a:xfrm>
          <a:off x="3689858" y="10487893"/>
          <a:ext cx="508000" cy="33483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448530</xdr:colOff>
      <xdr:row>52</xdr:row>
      <xdr:rowOff>75344</xdr:rowOff>
    </xdr:from>
    <xdr:to>
      <xdr:col>5</xdr:col>
      <xdr:colOff>154717</xdr:colOff>
      <xdr:row>54</xdr:row>
      <xdr:rowOff>154719</xdr:rowOff>
    </xdr:to>
    <xdr:sp macro="" textlink="">
      <xdr:nvSpPr>
        <xdr:cNvPr id="11" name="Right Arrow 10"/>
        <xdr:cNvSpPr/>
      </xdr:nvSpPr>
      <xdr:spPr>
        <a:xfrm rot="5400000">
          <a:off x="2800349" y="11258550"/>
          <a:ext cx="488950" cy="31578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447675</xdr:colOff>
      <xdr:row>68</xdr:row>
      <xdr:rowOff>95251</xdr:rowOff>
    </xdr:from>
    <xdr:to>
      <xdr:col>5</xdr:col>
      <xdr:colOff>153862</xdr:colOff>
      <xdr:row>70</xdr:row>
      <xdr:rowOff>146051</xdr:rowOff>
    </xdr:to>
    <xdr:sp macro="" textlink="">
      <xdr:nvSpPr>
        <xdr:cNvPr id="13" name="Right Arrow 12"/>
        <xdr:cNvSpPr/>
      </xdr:nvSpPr>
      <xdr:spPr>
        <a:xfrm rot="5400000">
          <a:off x="2799494" y="15097982"/>
          <a:ext cx="488950" cy="31578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447675</xdr:colOff>
      <xdr:row>91</xdr:row>
      <xdr:rowOff>114302</xdr:rowOff>
    </xdr:from>
    <xdr:to>
      <xdr:col>5</xdr:col>
      <xdr:colOff>153862</xdr:colOff>
      <xdr:row>93</xdr:row>
      <xdr:rowOff>165102</xdr:rowOff>
    </xdr:to>
    <xdr:sp macro="" textlink="">
      <xdr:nvSpPr>
        <xdr:cNvPr id="14" name="Right Arrow 13"/>
        <xdr:cNvSpPr/>
      </xdr:nvSpPr>
      <xdr:spPr>
        <a:xfrm rot="5400000">
          <a:off x="2799494" y="20279583"/>
          <a:ext cx="488950" cy="315787"/>
        </a:xfrm>
        <a:prstGeom prst="rightArrow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447675</xdr:colOff>
      <xdr:row>86</xdr:row>
      <xdr:rowOff>104777</xdr:rowOff>
    </xdr:from>
    <xdr:to>
      <xdr:col>5</xdr:col>
      <xdr:colOff>153862</xdr:colOff>
      <xdr:row>88</xdr:row>
      <xdr:rowOff>155577</xdr:rowOff>
    </xdr:to>
    <xdr:sp macro="" textlink="">
      <xdr:nvSpPr>
        <xdr:cNvPr id="15" name="Right Arrow 14"/>
        <xdr:cNvSpPr/>
      </xdr:nvSpPr>
      <xdr:spPr>
        <a:xfrm rot="5400000">
          <a:off x="2799494" y="19174683"/>
          <a:ext cx="488950" cy="315787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bg1">
              <a:lumMod val="50000"/>
            </a:schemeClr>
          </a:solidFill>
        </a:ln>
        <a:scene3d>
          <a:camera prst="orthographicFront">
            <a:rot lat="0" lon="6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pamwiki/hardware/estimation-equations" TargetMode="External"/><Relationship Id="rId2" Type="http://schemas.openxmlformats.org/officeDocument/2006/relationships/hyperlink" Target="http://www.atmos-meas-tech.net/8/4863/2015/" TargetMode="External"/><Relationship Id="rId1" Type="http://schemas.openxmlformats.org/officeDocument/2006/relationships/hyperlink" Target="http://pubs.acs.org/doi/abs/10.1021/jp509534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tmos-chem-phys-discuss.net/15/23543/20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showGridLines="0" tabSelected="1" zoomScale="80" zoomScaleNormal="80" workbookViewId="0">
      <selection activeCell="Q26" sqref="Q26"/>
    </sheetView>
  </sheetViews>
  <sheetFormatPr defaultRowHeight="15" x14ac:dyDescent="0.25"/>
  <cols>
    <col min="1" max="7" width="9.140625" style="3"/>
    <col min="8" max="8" width="9.5703125" style="3" customWidth="1"/>
    <col min="9" max="10" width="9.140625" style="3"/>
    <col min="11" max="12" width="10.5703125" style="3" customWidth="1"/>
    <col min="13" max="13" width="9.140625" style="3"/>
    <col min="14" max="14" width="9.140625" style="3" customWidth="1"/>
    <col min="15" max="16" width="9.140625" style="3"/>
    <col min="17" max="17" width="20.5703125" style="3" customWidth="1"/>
    <col min="18" max="18" width="9.28515625" style="3" customWidth="1"/>
    <col min="19" max="19" width="17.5703125" style="3" customWidth="1"/>
    <col min="20" max="20" width="12.7109375" style="3" customWidth="1"/>
    <col min="21" max="21" width="9.7109375" style="3" customWidth="1"/>
    <col min="22" max="22" width="16.140625" style="3" customWidth="1"/>
    <col min="23" max="23" width="14" style="3" customWidth="1"/>
    <col min="24" max="24" width="9.7109375" style="3" customWidth="1"/>
    <col min="25" max="25" width="14.85546875" style="3" customWidth="1"/>
    <col min="26" max="16384" width="9.140625" style="3"/>
  </cols>
  <sheetData>
    <row r="1" spans="2:10" ht="36" x14ac:dyDescent="0.55000000000000004">
      <c r="B1" s="2" t="s">
        <v>116</v>
      </c>
    </row>
    <row r="2" spans="2:10" x14ac:dyDescent="0.25">
      <c r="C2" s="3" t="s">
        <v>31</v>
      </c>
    </row>
    <row r="3" spans="2:10" x14ac:dyDescent="0.25">
      <c r="D3" s="3" t="s">
        <v>46</v>
      </c>
      <c r="J3" s="4" t="s">
        <v>32</v>
      </c>
    </row>
    <row r="4" spans="2:10" x14ac:dyDescent="0.25">
      <c r="D4" s="3" t="s">
        <v>45</v>
      </c>
      <c r="J4" s="4" t="s">
        <v>33</v>
      </c>
    </row>
    <row r="5" spans="2:10" x14ac:dyDescent="0.25">
      <c r="D5" s="3" t="s">
        <v>117</v>
      </c>
      <c r="J5" s="4" t="s">
        <v>118</v>
      </c>
    </row>
    <row r="6" spans="2:10" x14ac:dyDescent="0.25">
      <c r="C6" s="7"/>
      <c r="D6" s="3" t="s">
        <v>44</v>
      </c>
    </row>
    <row r="7" spans="2:10" x14ac:dyDescent="0.25">
      <c r="C7" s="7"/>
      <c r="D7" s="3" t="s">
        <v>121</v>
      </c>
    </row>
    <row r="8" spans="2:10" x14ac:dyDescent="0.25">
      <c r="C8" s="7" t="s">
        <v>43</v>
      </c>
    </row>
    <row r="9" spans="2:10" x14ac:dyDescent="0.25">
      <c r="C9" s="7" t="s">
        <v>90</v>
      </c>
    </row>
    <row r="10" spans="2:10" x14ac:dyDescent="0.25">
      <c r="C10" s="7" t="s">
        <v>119</v>
      </c>
    </row>
    <row r="11" spans="2:10" x14ac:dyDescent="0.25">
      <c r="C11" s="7" t="s">
        <v>81</v>
      </c>
    </row>
    <row r="12" spans="2:10" x14ac:dyDescent="0.25">
      <c r="C12" s="7" t="s">
        <v>91</v>
      </c>
    </row>
    <row r="13" spans="2:10" x14ac:dyDescent="0.25">
      <c r="C13" s="7" t="s">
        <v>120</v>
      </c>
    </row>
    <row r="14" spans="2:10" x14ac:dyDescent="0.25">
      <c r="C14" s="7" t="s">
        <v>92</v>
      </c>
    </row>
    <row r="15" spans="2:10" x14ac:dyDescent="0.25">
      <c r="C15" s="7" t="s">
        <v>93</v>
      </c>
    </row>
    <row r="16" spans="2:10" x14ac:dyDescent="0.25">
      <c r="C16" s="7" t="s">
        <v>79</v>
      </c>
    </row>
    <row r="17" spans="3:11" x14ac:dyDescent="0.25">
      <c r="C17" s="7" t="s">
        <v>82</v>
      </c>
    </row>
    <row r="18" spans="3:11" x14ac:dyDescent="0.25">
      <c r="C18" s="7" t="s">
        <v>85</v>
      </c>
    </row>
    <row r="19" spans="3:11" x14ac:dyDescent="0.25">
      <c r="C19" s="7" t="s">
        <v>86</v>
      </c>
    </row>
    <row r="20" spans="3:11" x14ac:dyDescent="0.25">
      <c r="C20" s="7" t="s">
        <v>83</v>
      </c>
    </row>
    <row r="21" spans="3:11" x14ac:dyDescent="0.25">
      <c r="C21" s="7" t="s">
        <v>80</v>
      </c>
    </row>
    <row r="22" spans="3:11" x14ac:dyDescent="0.25">
      <c r="C22" s="7" t="s">
        <v>94</v>
      </c>
    </row>
    <row r="23" spans="3:11" x14ac:dyDescent="0.25">
      <c r="C23" s="7" t="s">
        <v>87</v>
      </c>
    </row>
    <row r="24" spans="3:11" x14ac:dyDescent="0.25">
      <c r="C24" s="7" t="s">
        <v>122</v>
      </c>
    </row>
    <row r="25" spans="3:11" x14ac:dyDescent="0.25">
      <c r="C25" s="7" t="s">
        <v>123</v>
      </c>
    </row>
    <row r="26" spans="3:11" x14ac:dyDescent="0.25">
      <c r="C26" s="7" t="s">
        <v>112</v>
      </c>
    </row>
    <row r="27" spans="3:11" x14ac:dyDescent="0.25">
      <c r="C27" s="7" t="s">
        <v>88</v>
      </c>
    </row>
    <row r="28" spans="3:11" ht="18.75" x14ac:dyDescent="0.35">
      <c r="C28" s="7" t="s">
        <v>115</v>
      </c>
    </row>
    <row r="29" spans="3:11" x14ac:dyDescent="0.25">
      <c r="C29" s="7" t="s">
        <v>89</v>
      </c>
    </row>
    <row r="30" spans="3:11" x14ac:dyDescent="0.25">
      <c r="C30" s="7" t="s">
        <v>95</v>
      </c>
    </row>
    <row r="31" spans="3:11" x14ac:dyDescent="0.25">
      <c r="C31" s="7" t="s">
        <v>96</v>
      </c>
    </row>
    <row r="32" spans="3:11" x14ac:dyDescent="0.25">
      <c r="C32" s="7" t="s">
        <v>97</v>
      </c>
      <c r="J32" s="4" t="s">
        <v>84</v>
      </c>
      <c r="K32" s="4"/>
    </row>
    <row r="33" spans="2:28" x14ac:dyDescent="0.25">
      <c r="C33" s="7" t="s">
        <v>124</v>
      </c>
      <c r="K33" s="4"/>
    </row>
    <row r="35" spans="2:28" s="5" customFormat="1" x14ac:dyDescent="0.25"/>
    <row r="36" spans="2:28" ht="33.75" x14ac:dyDescent="0.5">
      <c r="B36" s="101" t="s">
        <v>18</v>
      </c>
      <c r="C36" s="101"/>
      <c r="D36" s="101"/>
      <c r="E36" s="101"/>
      <c r="I36" s="6"/>
      <c r="J36" s="7"/>
      <c r="K36" s="7"/>
      <c r="L36" s="6"/>
      <c r="Q36" s="53" t="s">
        <v>51</v>
      </c>
      <c r="R36" s="53"/>
      <c r="S36" s="53"/>
      <c r="T36" s="53"/>
      <c r="U36" s="53"/>
      <c r="V36" s="53"/>
      <c r="W36" s="53"/>
      <c r="X36" s="53"/>
      <c r="Y36" s="53"/>
    </row>
    <row r="37" spans="2:28" ht="18.75" x14ac:dyDescent="0.3">
      <c r="B37" s="83" t="s">
        <v>0</v>
      </c>
      <c r="C37" s="83"/>
      <c r="D37" s="83"/>
      <c r="E37" s="83"/>
      <c r="H37" s="83" t="s">
        <v>1</v>
      </c>
      <c r="I37" s="83"/>
      <c r="J37" s="83"/>
      <c r="N37" s="83" t="s">
        <v>26</v>
      </c>
      <c r="O37" s="83"/>
      <c r="Q37" s="31" t="s">
        <v>19</v>
      </c>
      <c r="R37" s="30"/>
      <c r="S37" s="22" t="s">
        <v>47</v>
      </c>
      <c r="T37" s="40" t="s">
        <v>3</v>
      </c>
      <c r="U37" s="40"/>
      <c r="V37" s="40"/>
      <c r="W37" s="40" t="s">
        <v>14</v>
      </c>
      <c r="X37" s="40"/>
      <c r="Y37" s="40"/>
    </row>
    <row r="38" spans="2:28" ht="18.75" x14ac:dyDescent="0.3">
      <c r="B38" s="77" t="s">
        <v>35</v>
      </c>
      <c r="C38" s="78"/>
      <c r="D38" s="78"/>
      <c r="E38" s="79"/>
      <c r="H38" s="77" t="s">
        <v>36</v>
      </c>
      <c r="I38" s="78"/>
      <c r="J38" s="79"/>
      <c r="N38" s="77" t="s">
        <v>37</v>
      </c>
      <c r="O38" s="79"/>
      <c r="Q38" s="32" t="s">
        <v>20</v>
      </c>
      <c r="R38" s="30"/>
      <c r="S38" s="51" t="s">
        <v>48</v>
      </c>
      <c r="T38" s="41" t="s">
        <v>105</v>
      </c>
      <c r="U38" s="42"/>
      <c r="V38" s="42"/>
      <c r="W38" s="41" t="s">
        <v>109</v>
      </c>
      <c r="X38" s="42"/>
      <c r="Y38" s="43"/>
      <c r="Z38" s="7"/>
      <c r="AA38" s="7"/>
      <c r="AB38" s="7"/>
    </row>
    <row r="39" spans="2:28" ht="17.25" x14ac:dyDescent="0.25">
      <c r="B39" s="84">
        <v>1.4541399999999999E-2</v>
      </c>
      <c r="C39" s="84"/>
      <c r="D39" s="84"/>
      <c r="E39" s="84"/>
      <c r="H39" s="37">
        <v>22.337</v>
      </c>
      <c r="I39" s="37"/>
      <c r="J39" s="23" t="s">
        <v>2</v>
      </c>
      <c r="N39" s="1">
        <v>180</v>
      </c>
      <c r="O39" s="9" t="s">
        <v>27</v>
      </c>
      <c r="S39" s="51"/>
      <c r="T39" s="44" t="s">
        <v>106</v>
      </c>
      <c r="U39" s="45"/>
      <c r="V39" s="45"/>
      <c r="W39" s="44" t="s">
        <v>110</v>
      </c>
      <c r="X39" s="45"/>
      <c r="Y39" s="46"/>
      <c r="Z39" s="7"/>
      <c r="AA39" s="7"/>
      <c r="AB39" s="7"/>
    </row>
    <row r="40" spans="2:28" ht="17.25" x14ac:dyDescent="0.25">
      <c r="B40" s="88" t="s">
        <v>98</v>
      </c>
      <c r="C40" s="89"/>
      <c r="D40" s="89"/>
      <c r="E40" s="90"/>
      <c r="F40" s="7"/>
      <c r="H40" s="66" t="s">
        <v>100</v>
      </c>
      <c r="I40" s="67"/>
      <c r="J40" s="67"/>
      <c r="K40" s="67"/>
      <c r="L40" s="68"/>
      <c r="S40" s="51"/>
      <c r="T40" s="44" t="s">
        <v>114</v>
      </c>
      <c r="U40" s="45"/>
      <c r="V40" s="45"/>
      <c r="W40" s="44"/>
      <c r="X40" s="45"/>
      <c r="Y40" s="46"/>
      <c r="Z40" s="7"/>
      <c r="AA40" s="7"/>
      <c r="AB40" s="7"/>
    </row>
    <row r="41" spans="2:28" ht="18.75" customHeight="1" x14ac:dyDescent="0.25">
      <c r="B41" s="77" t="s">
        <v>99</v>
      </c>
      <c r="C41" s="78"/>
      <c r="D41" s="78"/>
      <c r="E41" s="79"/>
      <c r="H41" s="69" t="s">
        <v>99</v>
      </c>
      <c r="I41" s="70"/>
      <c r="J41" s="70"/>
      <c r="K41" s="70"/>
      <c r="L41" s="71"/>
      <c r="M41" s="7"/>
      <c r="N41" s="7"/>
      <c r="O41" s="7"/>
      <c r="P41" s="7"/>
      <c r="Q41" s="7"/>
      <c r="R41" s="7"/>
      <c r="S41" s="52" t="s">
        <v>50</v>
      </c>
      <c r="T41" s="41" t="s">
        <v>107</v>
      </c>
      <c r="U41" s="42"/>
      <c r="V41" s="42"/>
      <c r="W41" s="41" t="s">
        <v>107</v>
      </c>
      <c r="X41" s="42"/>
      <c r="Y41" s="43"/>
    </row>
    <row r="42" spans="2:28" ht="17.25" x14ac:dyDescent="0.25">
      <c r="B42" s="105">
        <f>IFERROR(B39/0.023*0.71371,"")</f>
        <v>0.45123228669565207</v>
      </c>
      <c r="C42" s="106"/>
      <c r="D42" s="106"/>
      <c r="E42" s="107"/>
      <c r="H42" s="36" t="s">
        <v>101</v>
      </c>
      <c r="I42" s="36"/>
      <c r="J42" s="36"/>
      <c r="K42" s="36"/>
      <c r="L42" s="36"/>
      <c r="M42" s="7"/>
      <c r="N42" s="7"/>
      <c r="Q42" s="7"/>
      <c r="R42" s="7"/>
      <c r="S42" s="52"/>
      <c r="T42" s="47" t="s">
        <v>108</v>
      </c>
      <c r="U42" s="48"/>
      <c r="V42" s="48"/>
      <c r="W42" s="47" t="s">
        <v>111</v>
      </c>
      <c r="X42" s="48"/>
      <c r="Y42" s="49"/>
    </row>
    <row r="43" spans="2:28" ht="18.75" x14ac:dyDescent="0.3">
      <c r="H43" s="110">
        <v>9.1849999999999997E-13</v>
      </c>
      <c r="I43" s="111"/>
      <c r="J43" s="112"/>
      <c r="K43" s="108" t="s">
        <v>102</v>
      </c>
      <c r="L43" s="109"/>
      <c r="M43" s="7"/>
      <c r="N43" s="29"/>
      <c r="Q43" s="7"/>
      <c r="R43" s="7"/>
      <c r="S43" s="8" t="s">
        <v>49</v>
      </c>
      <c r="T43" s="50" t="s">
        <v>104</v>
      </c>
      <c r="U43" s="50"/>
      <c r="V43" s="50"/>
      <c r="W43" s="50" t="s">
        <v>104</v>
      </c>
      <c r="X43" s="50"/>
      <c r="Y43" s="50"/>
    </row>
    <row r="44" spans="2:28" ht="18.75" x14ac:dyDescent="0.3">
      <c r="H44" s="36" t="s">
        <v>103</v>
      </c>
      <c r="I44" s="36"/>
      <c r="J44" s="36"/>
      <c r="K44" s="36"/>
      <c r="L44" s="36"/>
      <c r="M44" s="7"/>
      <c r="N44" s="30"/>
      <c r="Q44" s="7"/>
      <c r="R44" s="7"/>
      <c r="S44" s="42" t="s">
        <v>113</v>
      </c>
      <c r="T44" s="42"/>
      <c r="U44" s="42"/>
      <c r="V44" s="42"/>
      <c r="W44" s="42"/>
      <c r="X44" s="42"/>
      <c r="Y44" s="42"/>
    </row>
    <row r="45" spans="2:28" ht="18.75" x14ac:dyDescent="0.3">
      <c r="H45" s="25">
        <f>IFERROR(H39/H43,"")</f>
        <v>24318998366902.559</v>
      </c>
      <c r="I45" s="58" t="s">
        <v>13</v>
      </c>
      <c r="J45" s="58"/>
      <c r="K45" s="26">
        <f>IFERROR(H45/20530900000,"")</f>
        <v>1184.5071753748039</v>
      </c>
      <c r="L45" s="24" t="s">
        <v>78</v>
      </c>
      <c r="M45" s="7"/>
      <c r="N45" s="30"/>
      <c r="O45" s="30"/>
      <c r="P45" s="27"/>
      <c r="Q45" s="7"/>
      <c r="R45" s="7"/>
    </row>
    <row r="46" spans="2:28" x14ac:dyDescent="0.25">
      <c r="M46" s="7"/>
      <c r="N46" s="28"/>
      <c r="O46" s="7"/>
      <c r="P46" s="7"/>
      <c r="Q46" s="7"/>
      <c r="R46" s="7"/>
    </row>
    <row r="47" spans="2:28" s="5" customFormat="1" x14ac:dyDescent="0.25"/>
    <row r="48" spans="2:28" ht="33.75" x14ac:dyDescent="0.5">
      <c r="B48" s="82" t="s">
        <v>3</v>
      </c>
      <c r="C48" s="82"/>
    </row>
    <row r="49" spans="2:29" ht="18.75" x14ac:dyDescent="0.3">
      <c r="B49" s="59" t="s">
        <v>4</v>
      </c>
      <c r="C49" s="59"/>
      <c r="D49" s="59"/>
      <c r="E49" s="59"/>
      <c r="F49" s="59"/>
      <c r="H49" s="59" t="s">
        <v>6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7"/>
      <c r="Y49" s="7"/>
      <c r="Z49" s="7"/>
    </row>
    <row r="50" spans="2:29" ht="15.75" x14ac:dyDescent="0.25">
      <c r="B50" s="83" t="s">
        <v>30</v>
      </c>
      <c r="C50" s="83"/>
      <c r="D50" s="83"/>
      <c r="E50" s="83"/>
      <c r="F50" s="83"/>
      <c r="H50" s="39" t="s">
        <v>9</v>
      </c>
      <c r="I50" s="39"/>
      <c r="J50" s="39"/>
      <c r="K50" s="39"/>
      <c r="L50" s="60" t="s">
        <v>52</v>
      </c>
      <c r="M50" s="61"/>
      <c r="N50" s="62"/>
      <c r="O50" s="66" t="s">
        <v>61</v>
      </c>
      <c r="P50" s="67"/>
      <c r="Q50" s="67"/>
      <c r="R50" s="67"/>
      <c r="S50" s="67"/>
      <c r="T50" s="67"/>
      <c r="U50" s="67"/>
      <c r="V50" s="67"/>
      <c r="W50" s="68"/>
    </row>
    <row r="51" spans="2:29" ht="17.25" x14ac:dyDescent="0.25">
      <c r="B51" s="80" t="s">
        <v>38</v>
      </c>
      <c r="C51" s="78"/>
      <c r="D51" s="78"/>
      <c r="E51" s="78"/>
      <c r="F51" s="79"/>
      <c r="H51" s="38">
        <f>IFERROR(10^(26.89+(-1.7629-1.2947*H39^0.076549+0.14469*LOG10(H61/N39*2/N39*180)*H39^0.046)*LOG10(H61/N39*2/N39*180)+LOG10(B39*100))*N39/180,"")</f>
        <v>162431621516.43744</v>
      </c>
      <c r="I51" s="38"/>
      <c r="J51" s="54" t="s">
        <v>8</v>
      </c>
      <c r="K51" s="54"/>
      <c r="L51" s="63"/>
      <c r="M51" s="64"/>
      <c r="N51" s="65"/>
      <c r="O51" s="69" t="s">
        <v>62</v>
      </c>
      <c r="P51" s="70"/>
      <c r="Q51" s="70"/>
      <c r="R51" s="70"/>
      <c r="S51" s="70"/>
      <c r="T51" s="70"/>
      <c r="U51" s="70"/>
      <c r="V51" s="70"/>
      <c r="W51" s="71"/>
    </row>
    <row r="52" spans="2:29" ht="17.25" customHeight="1" x14ac:dyDescent="0.25">
      <c r="B52" s="81">
        <v>1743330000000</v>
      </c>
      <c r="C52" s="81"/>
      <c r="D52" s="81"/>
      <c r="E52" s="50" t="s">
        <v>5</v>
      </c>
      <c r="F52" s="50"/>
      <c r="H52" s="36" t="s">
        <v>59</v>
      </c>
      <c r="I52" s="36"/>
      <c r="J52" s="36"/>
      <c r="K52" s="36"/>
      <c r="L52" s="36" t="s">
        <v>53</v>
      </c>
      <c r="M52" s="36"/>
      <c r="N52" s="36"/>
      <c r="O52" s="36" t="s">
        <v>63</v>
      </c>
      <c r="P52" s="36"/>
      <c r="Q52" s="36"/>
      <c r="R52" s="36" t="s">
        <v>66</v>
      </c>
      <c r="S52" s="36"/>
      <c r="T52" s="36"/>
      <c r="U52" s="36" t="s">
        <v>64</v>
      </c>
      <c r="V52" s="36"/>
      <c r="W52" s="36"/>
    </row>
    <row r="53" spans="2:29" ht="17.25" x14ac:dyDescent="0.25">
      <c r="B53" s="19"/>
      <c r="C53" s="19"/>
      <c r="D53" s="19"/>
      <c r="E53" s="11"/>
      <c r="F53" s="11"/>
      <c r="H53" s="38">
        <f>IFERROR(B52*N39,"")</f>
        <v>313799400000000</v>
      </c>
      <c r="I53" s="38"/>
      <c r="J53" s="58" t="s">
        <v>58</v>
      </c>
      <c r="K53" s="58"/>
      <c r="L53" s="55">
        <f>IFERROR(H53/H51,"")</f>
        <v>1931.8861504331207</v>
      </c>
      <c r="M53" s="57"/>
      <c r="N53" s="14" t="s">
        <v>12</v>
      </c>
      <c r="O53" s="18">
        <f>IFERROR(L53*0.0000000000000000268/0.00000000000122/(1+L53*0.0000000000000000268/0.00000000000122),"")</f>
        <v>4.0710477245494057E-2</v>
      </c>
      <c r="P53" s="34" t="str">
        <f>IF(AND(O53&gt;=0,O53&lt;=1),IF(O53&lt;0.05,"Very minor",IF(O53&lt;0.15,"Minor",IF(O53&lt;0.5,"Significant","Dominant"))),"")</f>
        <v>Very minor</v>
      </c>
      <c r="Q53" s="35"/>
      <c r="R53" s="18">
        <f>IFERROR(L53*1.31E-18/0.00000000000122/(1+L53*1.31E-18/0.00000000000122),"")</f>
        <v>2.0701081047581043E-3</v>
      </c>
      <c r="S53" s="34" t="str">
        <f>IF(AND(R53&gt;=0,R53&lt;=1),IF(R53&lt;0.05,"Very minor",IF(R53&lt;0.15,"Minor",IF(R53&lt;0.5,"Significant","Dominant"))),"")</f>
        <v>Very minor</v>
      </c>
      <c r="T53" s="35"/>
      <c r="U53" s="18">
        <f>IFERROR(L53*0.0000000000000000458/0.000000000164/(1+L53*0.0000000000000000458/0.000000000164),"")</f>
        <v>5.3922362789797225E-4</v>
      </c>
      <c r="V53" s="34" t="str">
        <f>IF(AND(U53&gt;=0,U53&lt;=1),IF(U53&lt;0.05,"Very minor",IF(U53&lt;0.15,"Minor",IF(U53&lt;0.5,"Significant","Dominant"))),"")</f>
        <v>Very minor</v>
      </c>
      <c r="W53" s="35"/>
    </row>
    <row r="54" spans="2:29" x14ac:dyDescent="0.25">
      <c r="B54" s="19"/>
      <c r="C54" s="19"/>
      <c r="D54" s="19"/>
      <c r="E54" s="11"/>
      <c r="F54" s="11"/>
      <c r="H54" s="36" t="s">
        <v>60</v>
      </c>
      <c r="I54" s="36"/>
      <c r="J54" s="36"/>
      <c r="K54" s="36"/>
      <c r="L54" s="36" t="s">
        <v>54</v>
      </c>
      <c r="M54" s="36"/>
      <c r="N54" s="36"/>
      <c r="O54" s="36" t="s">
        <v>65</v>
      </c>
      <c r="P54" s="36"/>
      <c r="Q54" s="36"/>
      <c r="R54" s="36" t="s">
        <v>67</v>
      </c>
      <c r="S54" s="36"/>
      <c r="T54" s="36"/>
      <c r="U54" s="36" t="s">
        <v>68</v>
      </c>
      <c r="V54" s="36"/>
      <c r="W54" s="36"/>
    </row>
    <row r="55" spans="2:29" ht="17.25" x14ac:dyDescent="0.25">
      <c r="B55" s="19"/>
      <c r="C55" s="19"/>
      <c r="D55" s="19"/>
      <c r="E55" s="11"/>
      <c r="F55" s="11"/>
      <c r="H55" s="38">
        <f>IFERROR(B52/10^(-5.15+0.23*LOG10(B52))*N39,"")</f>
        <v>6.7785187236017104E+16</v>
      </c>
      <c r="I55" s="38"/>
      <c r="J55" s="58" t="s">
        <v>58</v>
      </c>
      <c r="K55" s="58"/>
      <c r="L55" s="55">
        <f>IFERROR(H55/H51,"")</f>
        <v>417315.21610869048</v>
      </c>
      <c r="M55" s="57"/>
      <c r="N55" s="14" t="s">
        <v>12</v>
      </c>
      <c r="O55" s="18">
        <f>IFERROR(L55*0.00000000000000004/0.0000000000889/(1+L55*0.00000000000000004/0.0000000000889),"")</f>
        <v>0.15808501048185039</v>
      </c>
      <c r="P55" s="34" t="str">
        <f>IF(AND(O55&gt;=0,O55&lt;=1),IF(O55&lt;0.05,"Very minor",IF(O55&lt;0.15,"Minor",IF(O55&lt;0.5,"Significant","Dominant"))),"")</f>
        <v>Significant</v>
      </c>
      <c r="Q55" s="35"/>
      <c r="R55" s="18">
        <f>IFERROR(L55*2.29E-19/0.00000000000563/(1+L55*2.29E-19/0.00000000000563),"")</f>
        <v>1.6690960876279155E-2</v>
      </c>
      <c r="S55" s="34" t="str">
        <f>IF(AND(R55&gt;=0,R55&lt;=1),IF(R55&lt;0.05,"Very minor",IF(R55&lt;0.15,"Minor",IF(R55&lt;0.5,"Significant","Dominant"))),"")</f>
        <v>Very minor</v>
      </c>
      <c r="T55" s="35"/>
      <c r="U55" s="18">
        <f>IFERROR(L55*1.59E-20/0.000000000011/(1+L55*1.59E-20/0.000000000011),"")</f>
        <v>6.0284653284846509E-4</v>
      </c>
      <c r="V55" s="34" t="str">
        <f>IF(AND(U55&gt;=0,U55&lt;=1),IF(U55&lt;0.05,"Very minor",IF(U55&lt;0.15,"Minor",IF(U55&lt;0.5,"Significant","Dominant"))),"")</f>
        <v>Very minor</v>
      </c>
      <c r="W55" s="35"/>
    </row>
    <row r="56" spans="2:29" ht="18.75" x14ac:dyDescent="0.3">
      <c r="B56" s="19"/>
      <c r="C56" s="19"/>
      <c r="D56" s="19"/>
      <c r="E56" s="59" t="s">
        <v>47</v>
      </c>
      <c r="F56" s="59"/>
      <c r="H56" s="36" t="s">
        <v>10</v>
      </c>
      <c r="I56" s="36"/>
      <c r="J56" s="36"/>
      <c r="K56" s="36"/>
      <c r="L56" s="36" t="s">
        <v>55</v>
      </c>
      <c r="M56" s="36"/>
      <c r="N56" s="36"/>
      <c r="O56" s="36" t="s">
        <v>69</v>
      </c>
      <c r="P56" s="36"/>
      <c r="Q56" s="36"/>
      <c r="R56" s="36" t="s">
        <v>70</v>
      </c>
      <c r="S56" s="36"/>
      <c r="T56" s="36"/>
      <c r="U56" s="36" t="s">
        <v>71</v>
      </c>
      <c r="V56" s="36"/>
      <c r="W56" s="36"/>
    </row>
    <row r="57" spans="2:29" ht="18.75" x14ac:dyDescent="0.3">
      <c r="B57" s="19"/>
      <c r="C57" s="19"/>
      <c r="D57" s="19"/>
      <c r="E57" s="100" t="str">
        <f xml:space="preserve"> IF( AND(OR(AND($B$39&gt;0,$B$39&lt;0.001), $H$39&gt;=100), AND($B$39&gt;0, $H$39&gt;0, $B$52&gt;0)), "Riskier", IF(AND(AND($B$39&gt;0, $H$39&gt;0, $B$52&gt;0),AND($B$39&gt;0.008, $H$39&lt;30, $B$52&gt;1000000000000)), "Safer", IF(AND(AND($B$39&gt;0, $H$39&gt;0, $B$52&gt;0), NOT(OR(AND($B$39&gt;0,$B$39&lt;0.001), $H$39&gt;=100)), NOT(AND($B$39&gt;0.008, $H$39&lt;30, $B$52&gt;1000000000000))), "Transition", "")))</f>
        <v>Safer</v>
      </c>
      <c r="F57" s="100"/>
      <c r="H57" s="38">
        <f>IFERROR(10^(90.595-208.28*LOG10(LOG10(H61/N39^2*180^2))-155.9*B39+114.15*(LOG10(LOG10(H61/N39^2*180^2)))^2+134.4*B39*LOG10(LOG10(H61/N39^2*180^2)))*N39/180,"")</f>
        <v>7600.8147056894541</v>
      </c>
      <c r="I57" s="38"/>
      <c r="J57" s="54" t="s">
        <v>8</v>
      </c>
      <c r="K57" s="54"/>
      <c r="L57" s="55">
        <f>IFERROR(H57/H51,"")</f>
        <v>4.6793934793788179E-8</v>
      </c>
      <c r="M57" s="56"/>
      <c r="N57" s="57"/>
      <c r="O57" s="21">
        <f>IFERROR(L57*0.00000000015/0.0000000000000064/(1+L57*0.00000000015/0.0000000000000064),"")</f>
        <v>1.095531341522541E-3</v>
      </c>
      <c r="P57" s="34" t="str">
        <f>IF($L57&gt;0,IF($L57&lt;0.000001,"Lower than ambient value",IF($L57&lt;=0.0001,"Comparable to ambient value","Higher than ambient value")),"")</f>
        <v>Lower than ambient value</v>
      </c>
      <c r="Q57" s="35"/>
      <c r="R57" s="21">
        <f>IFERROR(L57*0.00000000053/0.000000000000248/(1+L57*0.00000000053/0.000000000000248),"")</f>
        <v>9.9993167466193015E-5</v>
      </c>
      <c r="S57" s="34" t="str">
        <f>IF($L57&gt;0,IF($L57&lt;0.000001,"Lower than ambient value",IF($L57&lt;=0.0001,"Comparable to ambient value","Higher than ambient value")),"")</f>
        <v>Lower than ambient value</v>
      </c>
      <c r="T57" s="35"/>
      <c r="U57" s="21">
        <f>IFERROR(L57*0.00000000106/0.0000000001/(1+L57*0.00000000106/0.0000000001),"")</f>
        <v>4.9601546278269346E-7</v>
      </c>
      <c r="V57" s="34" t="str">
        <f>IF($L57&gt;0,IF($L57&lt;0.000001,"Lower than ambient value",IF($L57&lt;=0.0001,"Comparable to ambient value","Higher than ambient value")),"")</f>
        <v>Lower than ambient value</v>
      </c>
      <c r="W57" s="35"/>
    </row>
    <row r="58" spans="2:29" ht="17.25" x14ac:dyDescent="0.25">
      <c r="D58" s="19"/>
      <c r="H58" s="36" t="s">
        <v>11</v>
      </c>
      <c r="I58" s="36"/>
      <c r="J58" s="36"/>
      <c r="K58" s="36"/>
      <c r="L58" s="36" t="s">
        <v>56</v>
      </c>
      <c r="M58" s="36"/>
      <c r="N58" s="36"/>
      <c r="O58" s="36" t="s">
        <v>72</v>
      </c>
      <c r="P58" s="36"/>
      <c r="Q58" s="36"/>
      <c r="R58" s="36" t="s">
        <v>73</v>
      </c>
      <c r="S58" s="36"/>
      <c r="T58" s="36"/>
      <c r="U58" s="36" t="s">
        <v>74</v>
      </c>
      <c r="V58" s="36"/>
      <c r="W58" s="36"/>
    </row>
    <row r="59" spans="2:29" ht="17.25" x14ac:dyDescent="0.25">
      <c r="D59" s="19"/>
      <c r="E59" s="11"/>
      <c r="F59" s="11"/>
      <c r="H59" s="38">
        <f>IFERROR(10^(313.61-558.66*LOG10(LOG10(H61/N39^2*180^2))-171.59*B39+254.33*(LOG10(LOG10(H61/N39^2*180^2)))^2+147.27*B39*LOG10(LOG10(H61/N39^2*180^2)))*N39/180,"")</f>
        <v>401874381.62734884</v>
      </c>
      <c r="I59" s="38"/>
      <c r="J59" s="58" t="s">
        <v>8</v>
      </c>
      <c r="K59" s="58"/>
      <c r="L59" s="55">
        <f>IFERROR(H59/H51,"")</f>
        <v>2.4741142018746684E-3</v>
      </c>
      <c r="M59" s="56"/>
      <c r="N59" s="57"/>
      <c r="O59" s="21">
        <f>IFERROR(L59*0.0000000000552/0.0000000001/(1+L59*0.0000000000552/0.0000000001),"")</f>
        <v>1.363848416596156E-3</v>
      </c>
      <c r="P59" s="34" t="str">
        <f>IF($L59&gt;0,IF($L59&lt;0.0012,"Lower than ambient value",IF($L59&lt;=0.12,"Comparable to ambient value","Higher than ambient value")),"")</f>
        <v>Comparable to ambient value</v>
      </c>
      <c r="Q59" s="35"/>
      <c r="R59" s="21">
        <f>IFERROR(L59*0.000000000000725/0.00000000000852/(1+L59*0.000000000000725/0.00000000000852),"")</f>
        <v>2.1048770395086004E-4</v>
      </c>
      <c r="S59" s="34" t="str">
        <f>IF($L59&gt;0,IF($L59&lt;0.0012,"Lower than ambient value",IF($L59&lt;=0.12,"Comparable to ambient value","Higher than ambient value")),"")</f>
        <v>Comparable to ambient value</v>
      </c>
      <c r="T59" s="35"/>
      <c r="U59" s="21">
        <f>IFERROR(L59*0.0000000000000199/0.00000000000122/(1+L59*0.0000000000000199/0.00000000000122),"")</f>
        <v>4.0354824387432532E-5</v>
      </c>
      <c r="V59" s="34" t="str">
        <f>IF($L59&gt;0,IF($L59&lt;0.0012,"Lower than ambient value",IF($L59&lt;=0.12,"Comparable to ambient value","Higher than ambient value")),"")</f>
        <v>Comparable to ambient value</v>
      </c>
      <c r="W59" s="35"/>
    </row>
    <row r="60" spans="2:29" ht="18" x14ac:dyDescent="0.35">
      <c r="B60" s="19"/>
      <c r="C60" s="19"/>
      <c r="D60" s="19"/>
      <c r="E60" s="11"/>
      <c r="F60" s="11"/>
      <c r="H60" s="36" t="s">
        <v>7</v>
      </c>
      <c r="I60" s="36"/>
      <c r="J60" s="36"/>
      <c r="K60" s="36"/>
      <c r="L60" s="36" t="s">
        <v>57</v>
      </c>
      <c r="M60" s="36"/>
      <c r="N60" s="36"/>
      <c r="O60" s="36" t="s">
        <v>75</v>
      </c>
      <c r="P60" s="36"/>
      <c r="Q60" s="36"/>
      <c r="R60" s="36" t="s">
        <v>76</v>
      </c>
      <c r="S60" s="36"/>
      <c r="T60" s="36"/>
      <c r="U60" s="36" t="s">
        <v>77</v>
      </c>
      <c r="V60" s="36"/>
      <c r="W60" s="36"/>
    </row>
    <row r="61" spans="2:29" ht="17.25" x14ac:dyDescent="0.25">
      <c r="B61" s="19"/>
      <c r="C61" s="19"/>
      <c r="D61" s="19"/>
      <c r="E61" s="11"/>
      <c r="F61" s="11"/>
      <c r="H61" s="38">
        <f>IFERROR(10^(3.1825+0.98741*LOG10(B52)+40.352*B39-3.8184*B39*LOG10(B52))*(N39/180)^2,"")</f>
        <v>1502567712072699</v>
      </c>
      <c r="I61" s="38"/>
      <c r="J61" s="54" t="s">
        <v>8</v>
      </c>
      <c r="K61" s="54"/>
      <c r="L61" s="55">
        <f>IFERROR(H61/H51,"")</f>
        <v>9250.4630443564529</v>
      </c>
      <c r="M61" s="56"/>
      <c r="N61" s="57"/>
      <c r="O61" s="21">
        <f>IFERROR(L61*0.000000000000021/0.000000000363/(1+L61*0.000000000000021/0.000000000363),"")</f>
        <v>0.34859817709590929</v>
      </c>
      <c r="P61" s="34" t="str">
        <f>IF($L61&gt;0,IF($L61&lt;100000,"Lower than ambient value",IF($L61&lt;=10000000,"Comparable to ambient value","Higher than ambient value")),"")</f>
        <v>Lower than ambient value</v>
      </c>
      <c r="Q61" s="35"/>
      <c r="R61" s="21">
        <f>IFERROR(L61*0.000000000000000084/0.0000000000523/(1+L61*0.000000000000000084/0.0000000000523),"")</f>
        <v>1.4639831307328514E-2</v>
      </c>
      <c r="S61" s="34" t="str">
        <f>IF($L61&gt;0,IF($L61&lt;100000,"Lower than ambient value",IF($L61&lt;=10000000,"Comparable to ambient value","Higher than ambient value")),"")</f>
        <v>Lower than ambient value</v>
      </c>
      <c r="T61" s="35"/>
      <c r="U61" s="21">
        <f>IFERROR(L61*0.0000000000000000127/0.0000000001/(1+L61*0.0000000000000000127/0.0000000001),"")</f>
        <v>1.1734302504410813E-3</v>
      </c>
      <c r="V61" s="34" t="str">
        <f>IF($L61&gt;0,IF($L61&lt;100000,"Lower than ambient value",IF($L61&lt;=10000000,"Comparable to ambient value","Higher than ambient value")),"")</f>
        <v>Lower than ambient value</v>
      </c>
      <c r="W61" s="35"/>
    </row>
    <row r="62" spans="2:29" ht="31.5" x14ac:dyDescent="0.5">
      <c r="C62" s="12" t="s">
        <v>34</v>
      </c>
      <c r="H62" s="13"/>
    </row>
    <row r="63" spans="2:29" ht="20.25" x14ac:dyDescent="0.35">
      <c r="B63" s="102" t="s">
        <v>25</v>
      </c>
      <c r="C63" s="103"/>
      <c r="D63" s="103"/>
      <c r="E63" s="103"/>
      <c r="F63" s="104"/>
      <c r="H63" s="59" t="s">
        <v>6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AA63" s="7"/>
    </row>
    <row r="64" spans="2:29" ht="20.25" x14ac:dyDescent="0.35">
      <c r="B64" s="85" t="s">
        <v>24</v>
      </c>
      <c r="C64" s="86"/>
      <c r="D64" s="86"/>
      <c r="E64" s="86"/>
      <c r="F64" s="87"/>
      <c r="H64" s="39" t="s">
        <v>9</v>
      </c>
      <c r="I64" s="39"/>
      <c r="J64" s="39"/>
      <c r="K64" s="39"/>
      <c r="L64" s="60" t="s">
        <v>52</v>
      </c>
      <c r="M64" s="61"/>
      <c r="N64" s="62"/>
      <c r="O64" s="66" t="s">
        <v>61</v>
      </c>
      <c r="P64" s="67"/>
      <c r="Q64" s="67"/>
      <c r="R64" s="67"/>
      <c r="S64" s="67"/>
      <c r="T64" s="67"/>
      <c r="U64" s="67"/>
      <c r="V64" s="67"/>
      <c r="W64" s="68"/>
      <c r="Y64" s="33"/>
      <c r="Z64" s="27"/>
      <c r="AA64" s="27"/>
      <c r="AB64" s="27"/>
      <c r="AC64" s="27"/>
    </row>
    <row r="65" spans="1:29" ht="18.75" x14ac:dyDescent="0.35">
      <c r="B65" s="83" t="s">
        <v>21</v>
      </c>
      <c r="C65" s="83"/>
      <c r="D65" s="83"/>
      <c r="E65" s="83"/>
      <c r="F65" s="83"/>
      <c r="H65" s="38">
        <f>IFERROR(10^(26.89+(-1.7629-1.2947*H39^0.076549+0.14469*LOG10(B67/N39*180)*H39^0.046)*LOG10(B67/N39*180)+LOG10(B39*100))*N39/180,"")</f>
        <v>159721866881.48337</v>
      </c>
      <c r="I65" s="38"/>
      <c r="J65" s="54" t="s">
        <v>8</v>
      </c>
      <c r="K65" s="54"/>
      <c r="L65" s="63"/>
      <c r="M65" s="64"/>
      <c r="N65" s="65"/>
      <c r="O65" s="69" t="s">
        <v>62</v>
      </c>
      <c r="P65" s="70"/>
      <c r="Q65" s="70"/>
      <c r="R65" s="70"/>
      <c r="S65" s="70"/>
      <c r="T65" s="70"/>
      <c r="U65" s="70"/>
      <c r="V65" s="70"/>
      <c r="W65" s="71"/>
      <c r="Y65" s="27"/>
      <c r="Z65" s="27"/>
      <c r="AA65" s="27"/>
      <c r="AB65" s="27"/>
      <c r="AC65" s="27"/>
    </row>
    <row r="66" spans="1:29" ht="17.25" x14ac:dyDescent="0.25">
      <c r="B66" s="80" t="s">
        <v>39</v>
      </c>
      <c r="C66" s="78"/>
      <c r="D66" s="78"/>
      <c r="E66" s="78"/>
      <c r="F66" s="79"/>
      <c r="H66" s="36" t="s">
        <v>59</v>
      </c>
      <c r="I66" s="36"/>
      <c r="J66" s="36"/>
      <c r="K66" s="36"/>
      <c r="L66" s="36" t="s">
        <v>53</v>
      </c>
      <c r="M66" s="36"/>
      <c r="N66" s="36"/>
      <c r="O66" s="36" t="s">
        <v>63</v>
      </c>
      <c r="P66" s="36"/>
      <c r="Q66" s="36"/>
      <c r="R66" s="36" t="s">
        <v>66</v>
      </c>
      <c r="S66" s="36"/>
      <c r="T66" s="36"/>
      <c r="U66" s="36" t="s">
        <v>64</v>
      </c>
      <c r="V66" s="36"/>
      <c r="W66" s="36"/>
      <c r="Y66" s="27"/>
      <c r="Z66" s="27"/>
      <c r="AA66" s="27"/>
      <c r="AB66" s="27"/>
      <c r="AC66" s="27"/>
    </row>
    <row r="67" spans="1:29" ht="17.25" x14ac:dyDescent="0.25">
      <c r="B67" s="81">
        <v>16418800000000</v>
      </c>
      <c r="C67" s="81"/>
      <c r="D67" s="81"/>
      <c r="E67" s="50" t="s">
        <v>13</v>
      </c>
      <c r="F67" s="50"/>
      <c r="H67" s="38">
        <f>IFERROR(L67*H65,"")</f>
        <v>277673919668061.09</v>
      </c>
      <c r="I67" s="38"/>
      <c r="J67" s="58" t="s">
        <v>58</v>
      </c>
      <c r="K67" s="58"/>
      <c r="L67" s="55">
        <f>IFERROR(10^(-2.7477-0.79645*LOG10(B39)+0.25018*LOG10(B67/N39*180^2/2)+3.8051*LOG10(H39)-0.22685*LOG10(H39)*LOG10(B67/N39*180^2/2)+0.0086381*(LOG10(H39))^2*LOG10(B67/N39*180^2/2)),"")</f>
        <v>1738.4840603829177</v>
      </c>
      <c r="M67" s="57"/>
      <c r="N67" s="14" t="s">
        <v>12</v>
      </c>
      <c r="O67" s="18">
        <f>IFERROR(L67*0.0000000000000000268/0.00000000000122/(1+L67*0.0000000000000000268/0.00000000000122),"")</f>
        <v>3.6784849335103904E-2</v>
      </c>
      <c r="P67" s="34" t="str">
        <f>IF(AND(O67&gt;=0,O67&lt;=1),IF(O67&lt;0.05,"Very minor",IF(O67&lt;0.15,"Minor",IF(O67&lt;0.5,"Significant","Dominant"))),"")</f>
        <v>Very minor</v>
      </c>
      <c r="Q67" s="35"/>
      <c r="R67" s="18">
        <f>IFERROR(L67*1.31E-18/0.00000000000122/(1+L67*1.31E-18/0.00000000000122),"")</f>
        <v>1.8632546857154848E-3</v>
      </c>
      <c r="S67" s="34" t="str">
        <f>IF(AND(R67&gt;=0,R67&lt;=1),IF(R67&lt;0.05,"Very minor",IF(R67&lt;0.15,"Minor",IF(R67&lt;0.5,"Significant","Dominant"))),"")</f>
        <v>Very minor</v>
      </c>
      <c r="T67" s="35"/>
      <c r="U67" s="18">
        <f>IFERROR(L67*0.0000000000000000458/0.000000000164/(1+L67*0.0000000000000000458/0.000000000164),"")</f>
        <v>4.852678761592446E-4</v>
      </c>
      <c r="V67" s="34" t="str">
        <f>IF(AND(U67&gt;=0,U67&lt;=1),IF(U67&lt;0.05,"Very minor",IF(U67&lt;0.15,"Minor",IF(U67&lt;0.5,"Significant","Dominant"))),"")</f>
        <v>Very minor</v>
      </c>
      <c r="W67" s="35"/>
      <c r="Y67" s="27"/>
      <c r="Z67" s="27"/>
      <c r="AA67" s="27"/>
      <c r="AB67" s="27"/>
      <c r="AC67" s="27"/>
    </row>
    <row r="68" spans="1:29" s="7" customFormat="1" x14ac:dyDescent="0.25">
      <c r="B68" s="113">
        <f>IFERROR(B67/20530900000000,"")</f>
        <v>0.79971165414083167</v>
      </c>
      <c r="C68" s="113"/>
      <c r="D68" s="113"/>
      <c r="E68" s="114" t="s">
        <v>16</v>
      </c>
      <c r="F68" s="114"/>
      <c r="H68" s="36" t="s">
        <v>60</v>
      </c>
      <c r="I68" s="36"/>
      <c r="J68" s="36"/>
      <c r="K68" s="36"/>
      <c r="L68" s="36" t="s">
        <v>54</v>
      </c>
      <c r="M68" s="36"/>
      <c r="N68" s="36"/>
      <c r="O68" s="36" t="s">
        <v>65</v>
      </c>
      <c r="P68" s="36"/>
      <c r="Q68" s="36"/>
      <c r="R68" s="36" t="s">
        <v>67</v>
      </c>
      <c r="S68" s="36"/>
      <c r="T68" s="36"/>
      <c r="U68" s="36" t="s">
        <v>68</v>
      </c>
      <c r="V68" s="36"/>
      <c r="W68" s="36"/>
      <c r="Y68" s="27"/>
      <c r="Z68" s="27"/>
      <c r="AA68" s="27"/>
      <c r="AB68" s="27"/>
      <c r="AC68" s="27"/>
    </row>
    <row r="69" spans="1:29" s="7" customFormat="1" ht="17.25" x14ac:dyDescent="0.25">
      <c r="B69" s="3"/>
      <c r="C69" s="3"/>
      <c r="D69" s="3"/>
      <c r="E69" s="3"/>
      <c r="F69" s="3"/>
      <c r="H69" s="38">
        <f>IFERROR(L69*H65,"")</f>
        <v>5.997991705504496E+16</v>
      </c>
      <c r="I69" s="38"/>
      <c r="J69" s="58" t="s">
        <v>58</v>
      </c>
      <c r="K69" s="58"/>
      <c r="L69" s="55">
        <f>IFERROR(10^(3.325-0.8268*LOG10(B39)+3.7467*LOG10(H39)-0.22294*LOG10(H39)*LOG10(B67/N39*180^2/2)+0.0086345*(LOG10(H39))^2*LOG10(B67/N39*180^2/2)),"")</f>
        <v>375527.27266549662</v>
      </c>
      <c r="M69" s="57"/>
      <c r="N69" s="14" t="s">
        <v>12</v>
      </c>
      <c r="O69" s="18">
        <f>IFERROR(L69*0.00000000000000004/0.0000000000889/(1+L69*0.00000000000000004/0.0000000000889),"")</f>
        <v>0.14454323733107588</v>
      </c>
      <c r="P69" s="34" t="str">
        <f>IF(AND(O69&gt;=0,O69&lt;=1),IF(O69&lt;0.05,"Very minor",IF(O69&lt;0.15,"Minor",IF(O69&lt;0.5,"Significant","Dominant"))),"")</f>
        <v>Minor</v>
      </c>
      <c r="Q69" s="35"/>
      <c r="R69" s="18">
        <f>IFERROR(L69*2.29E-19/0.00000000000563/(1+L69*2.29E-19/0.00000000000563),"")</f>
        <v>1.5044753227641362E-2</v>
      </c>
      <c r="S69" s="34" t="str">
        <f>IF(AND(R69&gt;=0,R69&lt;=1),IF(R69&lt;0.05,"Very minor",IF(R69&lt;0.15,"Minor",IF(R69&lt;0.5,"Significant","Dominant"))),"")</f>
        <v>Very minor</v>
      </c>
      <c r="T69" s="35"/>
      <c r="U69" s="18">
        <f>IFERROR(L69*1.59E-20/0.000000000011/(1+L69*1.59E-20/0.000000000011),"")</f>
        <v>5.4251312296849856E-4</v>
      </c>
      <c r="V69" s="34" t="str">
        <f>IF(AND(U69&gt;=0,U69&lt;=1),IF(U69&lt;0.05,"Very minor",IF(U69&lt;0.15,"Minor",IF(U69&lt;0.5,"Significant","Dominant"))),"")</f>
        <v>Very minor</v>
      </c>
      <c r="W69" s="35"/>
    </row>
    <row r="70" spans="1:29" s="7" customFormat="1" ht="17.25" x14ac:dyDescent="0.25">
      <c r="B70" s="3"/>
      <c r="C70" s="3"/>
      <c r="D70" s="3"/>
      <c r="E70" s="3"/>
      <c r="F70" s="3"/>
      <c r="H70" s="36" t="s">
        <v>10</v>
      </c>
      <c r="I70" s="36"/>
      <c r="J70" s="36"/>
      <c r="K70" s="36"/>
      <c r="L70" s="36" t="s">
        <v>55</v>
      </c>
      <c r="M70" s="36"/>
      <c r="N70" s="36"/>
      <c r="O70" s="36" t="s">
        <v>69</v>
      </c>
      <c r="P70" s="36"/>
      <c r="Q70" s="36"/>
      <c r="R70" s="36" t="s">
        <v>70</v>
      </c>
      <c r="S70" s="36"/>
      <c r="T70" s="36"/>
      <c r="U70" s="36" t="s">
        <v>71</v>
      </c>
      <c r="V70" s="36"/>
      <c r="W70" s="36"/>
    </row>
    <row r="71" spans="1:29" s="7" customFormat="1" ht="17.25" x14ac:dyDescent="0.25">
      <c r="B71" s="3"/>
      <c r="C71" s="3"/>
      <c r="D71" s="3"/>
      <c r="E71" s="3"/>
      <c r="F71" s="3"/>
      <c r="H71" s="38">
        <f>IFERROR(10^(90.595-208.28*LOG10(LOG10(B67/N39*180^2/2))-155.9*B39+114.15*(LOG10(LOG10(B67/N39*180^2/2)))^2+134.4*B39*LOG10(LOG10(B67/N39*180^2/2)))*N39/180,"")</f>
        <v>7374.3097116542467</v>
      </c>
      <c r="I71" s="38"/>
      <c r="J71" s="54" t="s">
        <v>8</v>
      </c>
      <c r="K71" s="54"/>
      <c r="L71" s="55">
        <f>IFERROR(H71/H65,"")</f>
        <v>4.6169693953841169E-8</v>
      </c>
      <c r="M71" s="56"/>
      <c r="N71" s="57"/>
      <c r="O71" s="21">
        <f>IFERROR(L71*0.00000000015/0.0000000000000064/(1+L71*0.00000000015/0.0000000000000064),"")</f>
        <v>1.0809325225802082E-3</v>
      </c>
      <c r="P71" s="34" t="str">
        <f>IF($L71&gt;0,IF($L71&lt;0.000001,"Lower than ambient value",IF($L71&lt;=0.0001,"Comparable to ambient value","Higher than ambient value")),"")</f>
        <v>Lower than ambient value</v>
      </c>
      <c r="Q71" s="35"/>
      <c r="R71" s="21">
        <f>IFERROR(L71*0.00000000053/0.000000000000248/(1+L71*0.00000000053/0.000000000000248),"")</f>
        <v>9.8659369382677716E-5</v>
      </c>
      <c r="S71" s="34" t="str">
        <f>IF($L71&gt;0,IF($L71&lt;0.000001,"Lower than ambient value",IF($L71&lt;=0.0001,"Comparable to ambient value","Higher than ambient value")),"")</f>
        <v>Lower than ambient value</v>
      </c>
      <c r="T71" s="35"/>
      <c r="U71" s="21">
        <f>IFERROR(L71*0.00000000106/0.0000000001/(1+L71*0.00000000106/0.0000000001),"")</f>
        <v>4.8939851639969128E-7</v>
      </c>
      <c r="V71" s="34" t="str">
        <f>IF($L71&gt;0,IF($L71&lt;0.000001,"Lower than ambient value",IF($L71&lt;=0.0001,"Comparable to ambient value","Higher than ambient value")),"")</f>
        <v>Lower than ambient value</v>
      </c>
      <c r="W71" s="35"/>
    </row>
    <row r="72" spans="1:29" s="7" customFormat="1" ht="18.75" x14ac:dyDescent="0.3">
      <c r="B72" s="3"/>
      <c r="C72" s="3"/>
      <c r="D72" s="3"/>
      <c r="E72" s="59" t="s">
        <v>47</v>
      </c>
      <c r="F72" s="59"/>
      <c r="H72" s="36" t="s">
        <v>11</v>
      </c>
      <c r="I72" s="36"/>
      <c r="J72" s="36"/>
      <c r="K72" s="36"/>
      <c r="L72" s="36" t="s">
        <v>56</v>
      </c>
      <c r="M72" s="36"/>
      <c r="N72" s="36"/>
      <c r="O72" s="36" t="s">
        <v>72</v>
      </c>
      <c r="P72" s="36"/>
      <c r="Q72" s="36"/>
      <c r="R72" s="36" t="s">
        <v>73</v>
      </c>
      <c r="S72" s="36"/>
      <c r="T72" s="36"/>
      <c r="U72" s="36" t="s">
        <v>74</v>
      </c>
      <c r="V72" s="36"/>
      <c r="W72" s="36"/>
    </row>
    <row r="73" spans="1:29" s="7" customFormat="1" ht="18.75" x14ac:dyDescent="0.3">
      <c r="D73" s="3"/>
      <c r="E73" s="100" t="str">
        <f xml:space="preserve"> IF( AND(OR(AND($B$39&gt;0,$B$39&lt;0.001), $H$39&gt;=100), AND($B$39&gt;0, $H$39&gt;0, H67/$N$39&gt;0)), "Riskier", IF(AND(AND($B$39&gt;0, $H$39&gt;0, H67/$N$39&gt;0),AND($B$39&gt;0.008, $H$39&lt;30, H67/$N$39&gt;1000000000000)), "Safer", IF(AND(AND($B$39&gt;0, $H$39&gt;0, H67/$N$39&gt;0), NOT(OR(AND($B$39&gt;0,$B$39&lt;0.001), $H$39&gt;=100)), NOT(AND($B$39&gt;0.008, $H$39&lt;30, H67/$N$39&gt;1000000000000))), "Transition", "")))</f>
        <v>Safer</v>
      </c>
      <c r="F73" s="100"/>
      <c r="H73" s="38">
        <f>IFERROR(10^(313.61-558.66*LOG10(LOG10(B67/N39*180^2/2))-171.59*B39+254.33*(LOG10(LOG10(B67/N39*180^2/2)))^2+147.27*B39*LOG10(LOG10(B67/N39*180^2/2)))*N39/180,"")</f>
        <v>393466767.13243538</v>
      </c>
      <c r="I73" s="38"/>
      <c r="J73" s="58" t="s">
        <v>8</v>
      </c>
      <c r="K73" s="58"/>
      <c r="L73" s="55">
        <f>IFERROR(H73/H65,"")</f>
        <v>2.4634495878037483E-3</v>
      </c>
      <c r="M73" s="56"/>
      <c r="N73" s="57"/>
      <c r="O73" s="21">
        <f>IFERROR(L73*0.0000000000552/0.0000000001/(1+L73*0.0000000000552/0.0000000001),"")</f>
        <v>1.3579775617535278E-3</v>
      </c>
      <c r="P73" s="34" t="str">
        <f>IF($L73&gt;0,IF($L73&lt;0.0012,"Lower than ambient value",IF($L73&lt;=0.12,"Comparable to ambient value","Higher than ambient value")),"")</f>
        <v>Comparable to ambient value</v>
      </c>
      <c r="Q73" s="35"/>
      <c r="R73" s="21">
        <f>IFERROR(L73*0.000000000000725/0.00000000000852/(1+L73*0.000000000000725/0.00000000000852),"")</f>
        <v>2.0958059155186173E-4</v>
      </c>
      <c r="S73" s="34" t="str">
        <f>IF($L73&gt;0,IF($L73&lt;0.0012,"Lower than ambient value",IF($L73&lt;=0.12,"Comparable to ambient value","Higher than ambient value")),"")</f>
        <v>Comparable to ambient value</v>
      </c>
      <c r="T73" s="35"/>
      <c r="U73" s="21">
        <f>IFERROR(L73*0.0000000000000199/0.00000000000122/(1+L73*0.0000000000000199/0.00000000000122),"")</f>
        <v>4.0180882806613739E-5</v>
      </c>
      <c r="V73" s="34" t="str">
        <f>IF($L73&gt;0,IF($L73&lt;0.0012,"Lower than ambient value",IF($L73&lt;=0.12,"Comparable to ambient value","Higher than ambient value")),"")</f>
        <v>Comparable to ambient value</v>
      </c>
      <c r="W73" s="35"/>
    </row>
    <row r="74" spans="1:29" s="7" customFormat="1" ht="18" x14ac:dyDescent="0.35">
      <c r="D74" s="3"/>
      <c r="H74" s="36" t="s">
        <v>7</v>
      </c>
      <c r="I74" s="36"/>
      <c r="J74" s="36"/>
      <c r="K74" s="36"/>
      <c r="L74" s="36" t="s">
        <v>57</v>
      </c>
      <c r="M74" s="36"/>
      <c r="N74" s="36"/>
      <c r="O74" s="36" t="s">
        <v>75</v>
      </c>
      <c r="P74" s="36"/>
      <c r="Q74" s="36"/>
      <c r="R74" s="36" t="s">
        <v>76</v>
      </c>
      <c r="S74" s="36"/>
      <c r="T74" s="36"/>
      <c r="U74" s="36" t="s">
        <v>77</v>
      </c>
      <c r="V74" s="36"/>
      <c r="W74" s="36"/>
    </row>
    <row r="75" spans="1:29" s="7" customFormat="1" ht="17.25" x14ac:dyDescent="0.25">
      <c r="B75" s="3"/>
      <c r="C75" s="3"/>
      <c r="D75" s="3"/>
      <c r="E75" s="3"/>
      <c r="F75" s="3"/>
      <c r="H75" s="38">
        <f>IFERROR(B67/N39*180^2/2,"")</f>
        <v>1477692000000000</v>
      </c>
      <c r="I75" s="38"/>
      <c r="J75" s="54" t="s">
        <v>8</v>
      </c>
      <c r="K75" s="54"/>
      <c r="L75" s="55">
        <f>IFERROR(H75/H65,"")</f>
        <v>9251.6574521162802</v>
      </c>
      <c r="M75" s="56"/>
      <c r="N75" s="57"/>
      <c r="O75" s="21">
        <f>IFERROR(L75*0.000000000000021/0.000000000363/(1+L75*0.000000000000021/0.000000000363),"")</f>
        <v>0.34862749572624424</v>
      </c>
      <c r="P75" s="34" t="str">
        <f>IF($L75&gt;0,IF($L75&lt;100000,"Lower than ambient value",IF($L75&lt;=10000000,"Comparable to ambient value","Higher than ambient value")),"")</f>
        <v>Lower than ambient value</v>
      </c>
      <c r="Q75" s="35"/>
      <c r="R75" s="21">
        <f>IFERROR(L75*0.000000000000000084/0.0000000000523/(1+L75*0.000000000000000084/0.0000000000523),"")</f>
        <v>1.4641693906468285E-2</v>
      </c>
      <c r="S75" s="34" t="str">
        <f>IF($L75&gt;0,IF($L75&lt;100000,"Lower than ambient value",IF($L75&lt;=10000000,"Comparable to ambient value","Higher than ambient value")),"")</f>
        <v>Lower than ambient value</v>
      </c>
      <c r="T75" s="35"/>
      <c r="U75" s="21">
        <f>IFERROR(L75*0.0000000000000000127/0.0000000001/(1+L75*0.0000000000000000127/0.0000000001),"")</f>
        <v>1.173581584417752E-3</v>
      </c>
      <c r="V75" s="34" t="str">
        <f>IF($L75&gt;0,IF($L75&lt;100000,"Lower than ambient value",IF($L75&lt;=10000000,"Comparable to ambient value","Higher than ambient value")),"")</f>
        <v>Lower than ambient value</v>
      </c>
      <c r="W75" s="35"/>
    </row>
    <row r="76" spans="1:29" s="7" customFormat="1" x14ac:dyDescent="0.25">
      <c r="B76" s="3"/>
      <c r="C76" s="3"/>
      <c r="D76" s="3"/>
      <c r="E76" s="3"/>
      <c r="F76" s="3"/>
    </row>
    <row r="77" spans="1:29" s="5" customFormat="1" x14ac:dyDescent="0.25"/>
    <row r="78" spans="1:29" ht="33.75" x14ac:dyDescent="0.5">
      <c r="B78" s="82" t="s">
        <v>14</v>
      </c>
      <c r="C78" s="82"/>
      <c r="H78" s="6"/>
      <c r="I78" s="7"/>
      <c r="J78" s="6"/>
      <c r="K78" s="6"/>
      <c r="L78" s="7"/>
    </row>
    <row r="79" spans="1:29" ht="18" x14ac:dyDescent="0.35">
      <c r="A79" s="15"/>
      <c r="B79" s="72" t="s">
        <v>15</v>
      </c>
      <c r="C79" s="73"/>
      <c r="D79" s="74"/>
    </row>
    <row r="80" spans="1:29" x14ac:dyDescent="0.25">
      <c r="A80" s="15"/>
      <c r="B80" s="77" t="s">
        <v>40</v>
      </c>
      <c r="C80" s="78"/>
      <c r="D80" s="79"/>
    </row>
    <row r="81" spans="2:27" x14ac:dyDescent="0.25">
      <c r="B81" s="75">
        <v>17.583200000000001</v>
      </c>
      <c r="C81" s="76"/>
      <c r="D81" s="16" t="s">
        <v>16</v>
      </c>
      <c r="M81" s="20">
        <f>IFERROR(10^(-(10^(LOG10(H85/N39*180)-13.322+0.22101*(H39/B81)^0.43529)))^(N39/180),"")</f>
        <v>0.90041224835248146</v>
      </c>
    </row>
    <row r="82" spans="2:27" x14ac:dyDescent="0.25">
      <c r="B82" s="17"/>
      <c r="C82" s="17"/>
      <c r="D82" s="17"/>
      <c r="E82" s="17"/>
      <c r="F82" s="15"/>
    </row>
    <row r="83" spans="2:27" ht="18.75" x14ac:dyDescent="0.3">
      <c r="B83" s="40" t="s">
        <v>28</v>
      </c>
      <c r="C83" s="40"/>
      <c r="D83" s="40"/>
      <c r="E83" s="40"/>
      <c r="F83" s="40"/>
      <c r="H83" s="59" t="s">
        <v>6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7"/>
      <c r="Y83" s="7"/>
      <c r="Z83" s="7"/>
      <c r="AA83" s="7"/>
    </row>
    <row r="84" spans="2:27" ht="15.75" x14ac:dyDescent="0.25">
      <c r="B84" s="72" t="s">
        <v>29</v>
      </c>
      <c r="C84" s="73"/>
      <c r="D84" s="73"/>
      <c r="E84" s="73"/>
      <c r="F84" s="74"/>
      <c r="H84" s="39" t="s">
        <v>9</v>
      </c>
      <c r="I84" s="39"/>
      <c r="J84" s="39"/>
      <c r="K84" s="39"/>
      <c r="L84" s="60" t="s">
        <v>52</v>
      </c>
      <c r="M84" s="61"/>
      <c r="N84" s="62"/>
      <c r="O84" s="66" t="s">
        <v>61</v>
      </c>
      <c r="P84" s="67"/>
      <c r="Q84" s="67"/>
      <c r="R84" s="67"/>
      <c r="S84" s="67"/>
      <c r="T84" s="67"/>
      <c r="U84" s="67"/>
      <c r="V84" s="67"/>
      <c r="W84" s="68"/>
    </row>
    <row r="85" spans="2:27" ht="17.25" x14ac:dyDescent="0.25">
      <c r="B85" s="80" t="s">
        <v>41</v>
      </c>
      <c r="C85" s="78"/>
      <c r="D85" s="78"/>
      <c r="E85" s="78"/>
      <c r="F85" s="79"/>
      <c r="H85" s="38">
        <f>IFERROR(10^(15.514+0.79292*LOG10(B39)+0.023076*(LOG10(B39))^2-1.0238*LOG10(B86)+0.060786*(LOG10(B86))^2-LOG10(1+EXP((-0.42602-LOG10(B81/H39))/0.39479)))*N39/180,"")</f>
        <v>543622125831.97675</v>
      </c>
      <c r="I85" s="38" t="str">
        <f>IFERROR(10^(15.559+LOG10(#REF!)+0.42073*LOG(B85^(180/B49))),"")</f>
        <v/>
      </c>
      <c r="J85" s="54" t="s">
        <v>8</v>
      </c>
      <c r="K85" s="54"/>
      <c r="L85" s="63"/>
      <c r="M85" s="64"/>
      <c r="N85" s="65"/>
      <c r="O85" s="69" t="s">
        <v>62</v>
      </c>
      <c r="P85" s="70"/>
      <c r="Q85" s="70"/>
      <c r="R85" s="70"/>
      <c r="S85" s="70"/>
      <c r="T85" s="70"/>
      <c r="U85" s="70"/>
      <c r="V85" s="70"/>
      <c r="W85" s="71"/>
      <c r="Y85" s="10"/>
    </row>
    <row r="86" spans="2:27" ht="17.25" x14ac:dyDescent="0.25">
      <c r="B86" s="81">
        <v>180818000000000</v>
      </c>
      <c r="C86" s="81"/>
      <c r="D86" s="81"/>
      <c r="E86" s="50" t="s">
        <v>5</v>
      </c>
      <c r="F86" s="50"/>
      <c r="H86" s="36" t="s">
        <v>60</v>
      </c>
      <c r="I86" s="36"/>
      <c r="J86" s="36"/>
      <c r="K86" s="36"/>
      <c r="L86" s="36" t="s">
        <v>54</v>
      </c>
      <c r="M86" s="36"/>
      <c r="N86" s="36"/>
      <c r="O86" s="36" t="s">
        <v>65</v>
      </c>
      <c r="P86" s="36"/>
      <c r="Q86" s="36"/>
      <c r="R86" s="36" t="s">
        <v>67</v>
      </c>
      <c r="S86" s="36"/>
      <c r="T86" s="36"/>
      <c r="U86" s="36" t="s">
        <v>68</v>
      </c>
      <c r="V86" s="36"/>
      <c r="W86" s="36"/>
    </row>
    <row r="87" spans="2:27" ht="17.25" customHeight="1" x14ac:dyDescent="0.25">
      <c r="B87" s="19"/>
      <c r="C87" s="19"/>
      <c r="D87" s="19"/>
      <c r="E87" s="11"/>
      <c r="F87" s="11"/>
      <c r="H87" s="38">
        <f>IFERROR(B86*N39,"")</f>
        <v>3.254724E+16</v>
      </c>
      <c r="I87" s="38"/>
      <c r="J87" s="58" t="s">
        <v>58</v>
      </c>
      <c r="K87" s="58"/>
      <c r="L87" s="55">
        <f>IFERROR(H87/H85,"")</f>
        <v>59871.073036603615</v>
      </c>
      <c r="M87" s="57"/>
      <c r="N87" s="14" t="s">
        <v>12</v>
      </c>
      <c r="O87" s="18">
        <f>IFERROR(L87*0.00000000000000004/0.0000000000889/(1+L87*0.00000000000000004/0.0000000000889),"")</f>
        <v>2.6231962779368533E-2</v>
      </c>
      <c r="P87" s="34" t="str">
        <f>IF(AND(O87&gt;=0,O87&lt;=1),IF(O87&lt;0.05,"Very minor",IF(O87&lt;0.15,"Minor",IF(O87&lt;0.5,"Significant","Dominant"))),"")</f>
        <v>Very minor</v>
      </c>
      <c r="Q87" s="35"/>
      <c r="R87" s="18">
        <f>IFERROR(L87*2.29E-19/0.00000000000563/(1+L87*2.29E-19/0.00000000000563),"")</f>
        <v>2.4293371859441509E-3</v>
      </c>
      <c r="S87" s="34" t="str">
        <f>IF(AND(R87&gt;=0,R87&lt;=1),IF(R87&lt;0.05,"Very minor",IF(R87&lt;0.15,"Minor",IF(R87&lt;0.5,"Significant","Dominant"))),"")</f>
        <v>Very minor</v>
      </c>
      <c r="T87" s="35"/>
      <c r="U87" s="18">
        <f>IFERROR(L87*1.59E-20/0.000000000011/(1+L87*1.59E-20/0.000000000011),"")</f>
        <v>8.653342598016662E-5</v>
      </c>
      <c r="V87" s="34" t="str">
        <f>IF(AND(U87&gt;=0,U87&lt;=1),IF(U87&lt;0.05,"Very minor",IF(U87&lt;0.15,"Minor",IF(U87&lt;0.5,"Significant","Dominant"))),"")</f>
        <v>Very minor</v>
      </c>
      <c r="W87" s="35"/>
    </row>
    <row r="88" spans="2:27" ht="17.25" customHeight="1" x14ac:dyDescent="0.25">
      <c r="B88" s="19"/>
      <c r="C88" s="19"/>
      <c r="D88" s="19"/>
      <c r="E88" s="11"/>
      <c r="F88" s="11"/>
      <c r="H88" s="36" t="s">
        <v>10</v>
      </c>
      <c r="I88" s="36"/>
      <c r="J88" s="36"/>
      <c r="K88" s="36"/>
      <c r="L88" s="36" t="s">
        <v>55</v>
      </c>
      <c r="M88" s="36"/>
      <c r="N88" s="36"/>
      <c r="O88" s="36" t="s">
        <v>69</v>
      </c>
      <c r="P88" s="36"/>
      <c r="Q88" s="36"/>
      <c r="R88" s="36" t="s">
        <v>70</v>
      </c>
      <c r="S88" s="36"/>
      <c r="T88" s="36"/>
      <c r="U88" s="36" t="s">
        <v>71</v>
      </c>
      <c r="V88" s="36"/>
      <c r="W88" s="36"/>
    </row>
    <row r="89" spans="2:27" ht="17.25" customHeight="1" x14ac:dyDescent="0.25">
      <c r="B89" s="19"/>
      <c r="C89" s="19"/>
      <c r="D89" s="19"/>
      <c r="E89" s="11"/>
      <c r="F89" s="11"/>
      <c r="H89" s="38">
        <f>IFERROR(10^(3.7371+0.1608*LOG10(-LOG10(M81^(180/N39)))-1.1344*LOG10(B39)+0.59179*LOG10(B81)-0.17019*LOG10(-LOG10(M81^(180/N39)))*LOG10(B39)-0.37983*(LOG10(-LOG10(M81^(180/N39))))^2+0.099941*LOG10(H39)),"")</f>
        <v>236834.58588998919</v>
      </c>
      <c r="I89" s="38"/>
      <c r="J89" s="54" t="s">
        <v>8</v>
      </c>
      <c r="K89" s="54"/>
      <c r="L89" s="55">
        <f>IFERROR(H89/H85,"")</f>
        <v>4.356603137290079E-7</v>
      </c>
      <c r="M89" s="56"/>
      <c r="N89" s="57"/>
      <c r="O89" s="21">
        <f>IFERROR(L89*0.00000000015/0.0000000000000064/(1+L89*0.00000000015/0.0000000000000064),"")</f>
        <v>1.0107582217710898E-2</v>
      </c>
      <c r="P89" s="34" t="str">
        <f>IF($L89&gt;0,IF($L89&lt;0.000001,"Lower than ambient value",IF($L89&lt;=0.0001,"Comparable to ambient value","Higher than ambient value")),"")</f>
        <v>Lower than ambient value</v>
      </c>
      <c r="Q89" s="35"/>
      <c r="R89" s="21">
        <f>IFERROR(L89*0.00000000053/0.000000000000248/(1+L89*0.00000000053/0.000000000000248),"")</f>
        <v>9.3018220659774151E-4</v>
      </c>
      <c r="S89" s="34" t="str">
        <f>IF($L89&gt;0,IF($L89&lt;0.000001,"Lower than ambient value",IF($L89&lt;=0.0001,"Comparable to ambient value","Higher than ambient value")),"")</f>
        <v>Lower than ambient value</v>
      </c>
      <c r="T89" s="35"/>
      <c r="U89" s="21">
        <f>IFERROR(L89*0.00000000106/0.0000000001/(1+L89*0.00000000106/0.0000000001),"")</f>
        <v>4.6179779997081958E-6</v>
      </c>
      <c r="V89" s="34" t="str">
        <f>IF($L89&gt;0,IF($L89&lt;0.000001,"Lower than ambient value",IF($L89&lt;=0.0001,"Comparable to ambient value","Higher than ambient value")),"")</f>
        <v>Lower than ambient value</v>
      </c>
      <c r="W89" s="35"/>
    </row>
    <row r="90" spans="2:27" ht="17.25" customHeight="1" x14ac:dyDescent="0.3">
      <c r="D90" s="19"/>
      <c r="E90" s="59" t="s">
        <v>47</v>
      </c>
      <c r="F90" s="59"/>
      <c r="H90" s="36" t="s">
        <v>11</v>
      </c>
      <c r="I90" s="36"/>
      <c r="J90" s="36"/>
      <c r="K90" s="36"/>
      <c r="L90" s="36" t="s">
        <v>56</v>
      </c>
      <c r="M90" s="36"/>
      <c r="N90" s="36"/>
      <c r="O90" s="36" t="s">
        <v>72</v>
      </c>
      <c r="P90" s="36"/>
      <c r="Q90" s="36"/>
      <c r="R90" s="36" t="s">
        <v>73</v>
      </c>
      <c r="S90" s="36"/>
      <c r="T90" s="36"/>
      <c r="U90" s="36" t="s">
        <v>74</v>
      </c>
      <c r="V90" s="36"/>
      <c r="W90" s="36"/>
    </row>
    <row r="91" spans="2:27" ht="17.25" customHeight="1" x14ac:dyDescent="0.3">
      <c r="D91" s="19"/>
      <c r="E91" s="100" t="str">
        <f xml:space="preserve"> IF( AND(OR($B$39&lt;0.001, $H$39&gt;200), AND($B$39&gt;0, $H$39&gt;0)), "Riskier", IF(AND(AND($B$39&gt;0, $H$39&gt;0),AND($B$39&gt;0.005, $H$39&lt;50)), "Safer", IF(AND(AND($B$39&gt;0, $H$39&gt;0), NOT(AND(OR($B$39&lt;0.001, $H$39&gt;200), AND($B$39&gt;0, $H$39&gt;0))), NOT(AND(AND($B$39&gt;0, $H$39&gt;0),AND($B$39&gt;0.005, $H$39&lt;50)))), "Transition", "")))</f>
        <v>Safer</v>
      </c>
      <c r="F91" s="100"/>
      <c r="H91" s="38">
        <f>IFERROR(10^(7.6621+0.16135*LOG10(-LOG10(M81^(180/N39)))-1.1342*LOG10(B39)+0.59182*LOG10(B81)-0.17007*LOG10(-LOG10(M81^(180/N39)))*LOG10(B39)-0.3797*(LOG10(-LOG10(M81^(180/N39))))^2+0.099902*LOG10(H39)),"")</f>
        <v>1990005582.9374578</v>
      </c>
      <c r="I91" s="38"/>
      <c r="J91" s="58" t="s">
        <v>8</v>
      </c>
      <c r="K91" s="58"/>
      <c r="L91" s="55">
        <f>IFERROR(H91/H85,"")</f>
        <v>3.6606412586534984E-3</v>
      </c>
      <c r="M91" s="56"/>
      <c r="N91" s="57"/>
      <c r="O91" s="21">
        <f>IFERROR(L91*0.0000000000552/0.0000000001/(1+L91*0.0000000000552/0.0000000001),"")</f>
        <v>2.0165990854871287E-3</v>
      </c>
      <c r="P91" s="34" t="str">
        <f>IF($L91&gt;0,IF($L91&lt;0.0012,"Lower than ambient value",IF($L91&lt;=0.12,"Comparable to ambient value","Higher than ambient value")),"")</f>
        <v>Comparable to ambient value</v>
      </c>
      <c r="Q91" s="35"/>
      <c r="R91" s="21">
        <f>IFERROR(L91*0.000000000000725/0.00000000000852/(1+L91*0.000000000000725/0.00000000000852),"")</f>
        <v>3.1140122823830114E-4</v>
      </c>
      <c r="S91" s="34" t="str">
        <f>IF($L91&gt;0,IF($L91&lt;0.0012,"Lower than ambient value",IF($L91&lt;=0.12,"Comparable to ambient value","Higher than ambient value")),"")</f>
        <v>Comparable to ambient value</v>
      </c>
      <c r="T91" s="35"/>
      <c r="U91" s="21">
        <f>IFERROR(L91*0.0000000000000199/0.00000000000122/(1+L91*0.0000000000000199/0.00000000000122),"")</f>
        <v>5.9706894748614745E-5</v>
      </c>
      <c r="V91" s="34" t="str">
        <f>IF($L91&gt;0,IF($L91&lt;0.0012,"Lower than ambient value",IF($L91&lt;=0.12,"Comparable to ambient value","Higher than ambient value")),"")</f>
        <v>Comparable to ambient value</v>
      </c>
      <c r="W91" s="35"/>
    </row>
    <row r="92" spans="2:27" ht="17.25" customHeight="1" x14ac:dyDescent="0.35">
      <c r="B92" s="19"/>
      <c r="C92" s="19"/>
      <c r="D92" s="19"/>
      <c r="H92" s="36" t="s">
        <v>7</v>
      </c>
      <c r="I92" s="36"/>
      <c r="J92" s="36"/>
      <c r="K92" s="36"/>
      <c r="L92" s="36" t="s">
        <v>57</v>
      </c>
      <c r="M92" s="36"/>
      <c r="N92" s="36"/>
      <c r="O92" s="36" t="s">
        <v>75</v>
      </c>
      <c r="P92" s="36"/>
      <c r="Q92" s="36"/>
      <c r="R92" s="36" t="s">
        <v>76</v>
      </c>
      <c r="S92" s="36"/>
      <c r="T92" s="36"/>
      <c r="U92" s="36" t="s">
        <v>77</v>
      </c>
      <c r="V92" s="36"/>
      <c r="W92" s="36"/>
    </row>
    <row r="93" spans="2:27" ht="17.25" customHeight="1" x14ac:dyDescent="0.25">
      <c r="B93" s="19"/>
      <c r="C93" s="19"/>
      <c r="D93" s="19"/>
      <c r="E93" s="11"/>
      <c r="F93" s="11"/>
      <c r="H93" s="38">
        <f>IFERROR(10^(15.559+LOG10(B81)+0.42073*LOG(M81^(180/N39))),"")</f>
        <v>6.0943872080839664E+16</v>
      </c>
      <c r="I93" s="38"/>
      <c r="J93" s="54" t="s">
        <v>8</v>
      </c>
      <c r="K93" s="54"/>
      <c r="L93" s="55">
        <f>IFERROR(H93/H85,"")</f>
        <v>112107.04860029236</v>
      </c>
      <c r="M93" s="56"/>
      <c r="N93" s="57"/>
      <c r="O93" s="21">
        <f>IFERROR(L93*0.000000000000021/0.000000000363/(1+L93*0.000000000000021/0.000000000363),"")</f>
        <v>0.86640895595573009</v>
      </c>
      <c r="P93" s="34" t="str">
        <f>IF($L93&gt;0,IF($L93&lt;100000,"Lower than ambient value",IF($L93&lt;=10000000,"Comparable to ambient value","Higher than ambient value")),"")</f>
        <v>Comparable to ambient value</v>
      </c>
      <c r="Q93" s="35"/>
      <c r="R93" s="21">
        <f>IFERROR(L93*0.000000000000000084/0.0000000000523/(1+L93*0.000000000000000084/0.0000000000523),"")</f>
        <v>0.15258345821273878</v>
      </c>
      <c r="S93" s="34" t="str">
        <f>IF($L93&gt;0,IF($L93&lt;100000,"Lower than ambient value",IF($L93&lt;=10000000,"Comparable to ambient value","Higher than ambient value")),"")</f>
        <v>Comparable to ambient value</v>
      </c>
      <c r="T93" s="35"/>
      <c r="U93" s="21">
        <f>IFERROR(L93*0.0000000000000000127/0.0000000001/(1+L93*0.0000000000000000127/0.0000000001),"")</f>
        <v>1.4037731632122463E-2</v>
      </c>
      <c r="V93" s="34" t="str">
        <f>IF($L93&gt;0,IF($L93&lt;100000,"Lower than ambient value",IF($L93&lt;=10000000,"Comparable to ambient value","Higher than ambient value")),"")</f>
        <v>Comparable to ambient value</v>
      </c>
      <c r="W93" s="35"/>
    </row>
    <row r="94" spans="2:27" ht="31.5" x14ac:dyDescent="0.5">
      <c r="C94" s="12" t="s">
        <v>34</v>
      </c>
    </row>
    <row r="95" spans="2:27" ht="18.75" x14ac:dyDescent="0.3">
      <c r="B95" s="97" t="s">
        <v>23</v>
      </c>
      <c r="C95" s="98"/>
      <c r="D95" s="98"/>
      <c r="E95" s="98"/>
      <c r="F95" s="99"/>
      <c r="H95" s="59" t="s">
        <v>6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7"/>
    </row>
    <row r="96" spans="2:27" ht="20.25" x14ac:dyDescent="0.25">
      <c r="B96" s="91" t="s">
        <v>22</v>
      </c>
      <c r="C96" s="92"/>
      <c r="D96" s="92"/>
      <c r="E96" s="92"/>
      <c r="F96" s="93"/>
      <c r="H96" s="39" t="s">
        <v>9</v>
      </c>
      <c r="I96" s="39"/>
      <c r="J96" s="39"/>
      <c r="K96" s="39"/>
      <c r="L96" s="60" t="s">
        <v>52</v>
      </c>
      <c r="M96" s="61"/>
      <c r="N96" s="62"/>
      <c r="O96" s="66" t="s">
        <v>61</v>
      </c>
      <c r="P96" s="67"/>
      <c r="Q96" s="67"/>
      <c r="R96" s="67"/>
      <c r="S96" s="67"/>
      <c r="T96" s="67"/>
      <c r="U96" s="67"/>
      <c r="V96" s="67"/>
      <c r="W96" s="68"/>
    </row>
    <row r="97" spans="2:24" ht="18.75" x14ac:dyDescent="0.35">
      <c r="B97" s="72" t="s">
        <v>17</v>
      </c>
      <c r="C97" s="73"/>
      <c r="D97" s="73"/>
      <c r="E97" s="73"/>
      <c r="F97" s="74"/>
      <c r="H97" s="38">
        <f>IFERROR(10^(13.322+LOG10(-LOG10(B99^(180/N39)))-0.22101*(H39/B81)^0.43529),"")</f>
        <v>565210630554.82703</v>
      </c>
      <c r="I97" s="38" t="str">
        <f>IFERROR(10^(15.559+LOG10(#REF!)+0.42073*LOG(B97^(180/B61))),"")</f>
        <v/>
      </c>
      <c r="J97" s="54" t="s">
        <v>8</v>
      </c>
      <c r="K97" s="54"/>
      <c r="L97" s="63"/>
      <c r="M97" s="64"/>
      <c r="N97" s="65"/>
      <c r="O97" s="69" t="s">
        <v>62</v>
      </c>
      <c r="P97" s="70"/>
      <c r="Q97" s="70"/>
      <c r="R97" s="70"/>
      <c r="S97" s="70"/>
      <c r="T97" s="70"/>
      <c r="U97" s="70"/>
      <c r="V97" s="70"/>
      <c r="W97" s="71"/>
    </row>
    <row r="98" spans="2:24" x14ac:dyDescent="0.25">
      <c r="B98" s="77" t="s">
        <v>42</v>
      </c>
      <c r="C98" s="78"/>
      <c r="D98" s="78"/>
      <c r="E98" s="78"/>
      <c r="F98" s="79"/>
      <c r="H98" s="36" t="s">
        <v>60</v>
      </c>
      <c r="I98" s="36"/>
      <c r="J98" s="36"/>
      <c r="K98" s="36"/>
      <c r="L98" s="36" t="s">
        <v>54</v>
      </c>
      <c r="M98" s="36"/>
      <c r="N98" s="36"/>
      <c r="O98" s="36" t="s">
        <v>65</v>
      </c>
      <c r="P98" s="36"/>
      <c r="Q98" s="36"/>
      <c r="R98" s="36" t="s">
        <v>67</v>
      </c>
      <c r="S98" s="36"/>
      <c r="T98" s="36"/>
      <c r="U98" s="36" t="s">
        <v>68</v>
      </c>
      <c r="V98" s="36"/>
      <c r="W98" s="36"/>
    </row>
    <row r="99" spans="2:24" s="7" customFormat="1" ht="17.25" x14ac:dyDescent="0.25">
      <c r="B99" s="94">
        <v>0.89666900000000005</v>
      </c>
      <c r="C99" s="95"/>
      <c r="D99" s="95"/>
      <c r="E99" s="95"/>
      <c r="F99" s="96"/>
      <c r="H99" s="38">
        <f>IFERROR(L99*H97,"")</f>
        <v>4.2897184317488648E+16</v>
      </c>
      <c r="I99" s="38"/>
      <c r="J99" s="58" t="s">
        <v>58</v>
      </c>
      <c r="K99" s="58"/>
      <c r="L99" s="55">
        <f>IFERROR(10^(2.8045-0.888519*LOG10(B39)-0.015648*LOG10(-LOG10(B99^(180/N39)))-0.2607*LOG10(H39)-0.1641*(LOG10(-LOG10(B99^(180/N39))))^2+(H39/B81)^0.25142),"")</f>
        <v>75895.926223785878</v>
      </c>
      <c r="M99" s="57"/>
      <c r="N99" s="14" t="s">
        <v>12</v>
      </c>
      <c r="O99" s="18">
        <f>IFERROR(L99*0.00000000000000004/0.0000000000889/(1+L99*0.00000000000000004/0.0000000000889),"")</f>
        <v>3.3021258590760397E-2</v>
      </c>
      <c r="P99" s="34" t="str">
        <f>IF(AND(O99&gt;=0,O99&lt;=1),IF(O99&lt;0.05,"Very minor",IF(O99&lt;0.15,"Minor",IF(O99&lt;0.5,"Significant","Dominant"))),"")</f>
        <v>Very minor</v>
      </c>
      <c r="Q99" s="35"/>
      <c r="R99" s="18">
        <f>IFERROR(L99*2.29E-19/0.00000000000563/(1+L99*2.29E-19/0.00000000000563),"")</f>
        <v>3.0775627974335132E-3</v>
      </c>
      <c r="S99" s="34" t="str">
        <f>IF(AND(R99&gt;=0,R99&lt;=1),IF(R99&lt;0.05,"Very minor",IF(R99&lt;0.15,"Minor",IF(R99&lt;0.5,"Significant","Dominant"))),"")</f>
        <v>Very minor</v>
      </c>
      <c r="T99" s="35"/>
      <c r="U99" s="18">
        <f>IFERROR(L99*1.59E-20/0.000000000011/(1+L99*1.59E-20/0.000000000011),"")</f>
        <v>1.0969207786970827E-4</v>
      </c>
      <c r="V99" s="34" t="str">
        <f>IF(AND(U99&gt;=0,U99&lt;=1),IF(U99&lt;0.05,"Very minor",IF(U99&lt;0.15,"Minor",IF(U99&lt;0.5,"Significant","Dominant"))),"")</f>
        <v>Very minor</v>
      </c>
      <c r="W99" s="35"/>
      <c r="X99" s="3"/>
    </row>
    <row r="100" spans="2:24" s="7" customFormat="1" ht="17.25" x14ac:dyDescent="0.25">
      <c r="H100" s="36" t="s">
        <v>10</v>
      </c>
      <c r="I100" s="36"/>
      <c r="J100" s="36"/>
      <c r="K100" s="36"/>
      <c r="L100" s="36" t="s">
        <v>55</v>
      </c>
      <c r="M100" s="36"/>
      <c r="N100" s="36"/>
      <c r="O100" s="36" t="s">
        <v>69</v>
      </c>
      <c r="P100" s="36"/>
      <c r="Q100" s="36"/>
      <c r="R100" s="36" t="s">
        <v>70</v>
      </c>
      <c r="S100" s="36"/>
      <c r="T100" s="36"/>
      <c r="U100" s="36" t="s">
        <v>71</v>
      </c>
      <c r="V100" s="36"/>
      <c r="W100" s="36"/>
    </row>
    <row r="101" spans="2:24" s="7" customFormat="1" ht="17.25" x14ac:dyDescent="0.25">
      <c r="H101" s="38">
        <f>IFERROR(10^(3.7371+0.1608*LOG10(-LOG10(B99^(180/N39)))-1.1344*LOG10(B39)+0.59179*LOG10(B81)-0.17019*LOG10(-LOG10(B99^(180/N39)))*LOG10(B39)-0.37983*(LOG10(-LOG10(B99^(180/N39))))^2+0.099941*LOG10(H39)),"")</f>
        <v>250945.859530082</v>
      </c>
      <c r="I101" s="38"/>
      <c r="J101" s="54" t="s">
        <v>8</v>
      </c>
      <c r="K101" s="54"/>
      <c r="L101" s="55">
        <f>IFERROR(H101/H97,"")</f>
        <v>4.4398644675834623E-7</v>
      </c>
      <c r="M101" s="56"/>
      <c r="N101" s="57"/>
      <c r="O101" s="21">
        <f>IFERROR(L101*0.00000000015/0.0000000000000064/(1+L101*0.00000000015/0.0000000000000064),"")</f>
        <v>1.029876410339247E-2</v>
      </c>
      <c r="P101" s="34" t="str">
        <f>IF($L101&gt;0,IF($L101&lt;0.000001,"Lower than ambient value",IF($L101&lt;=0.0001,"Comparable to ambient value","Higher than ambient value")),"")</f>
        <v>Lower than ambient value</v>
      </c>
      <c r="Q101" s="35"/>
      <c r="R101" s="21">
        <f>IFERROR(L101*0.00000000053/0.000000000000248/(1+L101*0.00000000053/0.000000000000248),"")</f>
        <v>9.4794255543974011E-4</v>
      </c>
      <c r="S101" s="34" t="str">
        <f>IF($L101&gt;0,IF($L101&lt;0.000001,"Lower than ambient value",IF($L101&lt;=0.0001,"Comparable to ambient value","Higher than ambient value")),"")</f>
        <v>Lower than ambient value</v>
      </c>
      <c r="T101" s="35"/>
      <c r="U101" s="21">
        <f>IFERROR(L101*0.00000000106/0.0000000001/(1+L101*0.00000000106/0.0000000001),"")</f>
        <v>4.706234186894012E-6</v>
      </c>
      <c r="V101" s="34" t="str">
        <f>IF($L101&gt;0,IF($L101&lt;0.000001,"Lower than ambient value",IF($L101&lt;=0.0001,"Comparable to ambient value","Higher than ambient value")),"")</f>
        <v>Lower than ambient value</v>
      </c>
      <c r="W101" s="35"/>
    </row>
    <row r="102" spans="2:24" s="7" customFormat="1" ht="17.25" x14ac:dyDescent="0.25">
      <c r="H102" s="36" t="s">
        <v>11</v>
      </c>
      <c r="I102" s="36"/>
      <c r="J102" s="36"/>
      <c r="K102" s="36"/>
      <c r="L102" s="36" t="s">
        <v>56</v>
      </c>
      <c r="M102" s="36"/>
      <c r="N102" s="36"/>
      <c r="O102" s="36" t="s">
        <v>72</v>
      </c>
      <c r="P102" s="36"/>
      <c r="Q102" s="36"/>
      <c r="R102" s="36" t="s">
        <v>73</v>
      </c>
      <c r="S102" s="36"/>
      <c r="T102" s="36"/>
      <c r="U102" s="36" t="s">
        <v>74</v>
      </c>
      <c r="V102" s="36"/>
      <c r="W102" s="36"/>
    </row>
    <row r="103" spans="2:24" s="7" customFormat="1" ht="17.25" x14ac:dyDescent="0.25">
      <c r="H103" s="38">
        <f>IFERROR(10^(7.6621+0.16135*LOG10(-LOG10(B99^(180/N39)))-1.1342*LOG10(B39)+0.59182*LOG10(B81)-0.17007*LOG10(-LOG10(B99^(180/N39)))*LOG10(B39)-0.3797*(LOG10(-LOG10(B99^(180/N39))))^2+0.099902*LOG10(H39)),"")</f>
        <v>2108574336.030829</v>
      </c>
      <c r="I103" s="38"/>
      <c r="J103" s="58" t="s">
        <v>8</v>
      </c>
      <c r="K103" s="58"/>
      <c r="L103" s="55">
        <f>IFERROR(H103/H97,"")</f>
        <v>3.730599217429778E-3</v>
      </c>
      <c r="M103" s="56"/>
      <c r="N103" s="57"/>
      <c r="O103" s="21">
        <f>IFERROR(L103*0.0000000000552/0.0000000001/(1+L103*0.0000000000552/0.0000000001),"")</f>
        <v>2.0550588043976008E-3</v>
      </c>
      <c r="P103" s="34" t="str">
        <f>IF($L103&gt;0,IF($L103&lt;0.0012,"Lower than ambient value",IF($L103&lt;=0.12,"Comparable to ambient value","Higher than ambient value")),"")</f>
        <v>Comparable to ambient value</v>
      </c>
      <c r="Q103" s="35"/>
      <c r="R103" s="21">
        <f>IFERROR(L103*0.000000000000725/0.00000000000852/(1+L103*0.000000000000725/0.00000000000852),"")</f>
        <v>3.1735048118901733E-4</v>
      </c>
      <c r="S103" s="34" t="str">
        <f>IF($L103&gt;0,IF($L103&lt;0.0012,"Lower than ambient value",IF($L103&lt;=0.12,"Comparable to ambient value","Higher than ambient value")),"")</f>
        <v>Comparable to ambient value</v>
      </c>
      <c r="T103" s="35"/>
      <c r="U103" s="21">
        <f>IFERROR(L103*0.0000000000000199/0.00000000000122/(1+L103*0.0000000000000199/0.00000000000122),"")</f>
        <v>6.0847874709902012E-5</v>
      </c>
      <c r="V103" s="34" t="str">
        <f>IF($L103&gt;0,IF($L103&lt;0.0012,"Lower than ambient value",IF($L103&lt;=0.12,"Comparable to ambient value","Higher than ambient value")),"")</f>
        <v>Comparable to ambient value</v>
      </c>
      <c r="W103" s="35"/>
    </row>
    <row r="104" spans="2:24" s="7" customFormat="1" ht="18" x14ac:dyDescent="0.35">
      <c r="H104" s="36" t="s">
        <v>7</v>
      </c>
      <c r="I104" s="36"/>
      <c r="J104" s="36"/>
      <c r="K104" s="36"/>
      <c r="L104" s="36" t="s">
        <v>57</v>
      </c>
      <c r="M104" s="36"/>
      <c r="N104" s="36"/>
      <c r="O104" s="36" t="s">
        <v>75</v>
      </c>
      <c r="P104" s="36"/>
      <c r="Q104" s="36"/>
      <c r="R104" s="36" t="s">
        <v>76</v>
      </c>
      <c r="S104" s="36"/>
      <c r="T104" s="36"/>
      <c r="U104" s="36" t="s">
        <v>77</v>
      </c>
      <c r="V104" s="36"/>
      <c r="W104" s="36"/>
    </row>
    <row r="105" spans="2:24" s="7" customFormat="1" ht="17.25" x14ac:dyDescent="0.25">
      <c r="H105" s="38">
        <f>IFERROR(10^(15.559+LOG10(B81)+0.42073*LOG(B99^(180/N39))),"")</f>
        <v>6.0837147481645224E+16</v>
      </c>
      <c r="I105" s="38"/>
      <c r="J105" s="54" t="s">
        <v>8</v>
      </c>
      <c r="K105" s="54"/>
      <c r="L105" s="55">
        <f>IFERROR(H105/H97,"")</f>
        <v>107636.24070892957</v>
      </c>
      <c r="M105" s="56"/>
      <c r="N105" s="57"/>
      <c r="O105" s="21">
        <f>IFERROR(L105*0.000000000000021/0.000000000363/(1+L105*0.000000000000021/0.000000000363),"")</f>
        <v>0.86162789169881771</v>
      </c>
      <c r="P105" s="34" t="str">
        <f>IF($L105&gt;0,IF($L105&lt;100000,"Lower than ambient value",IF($L105&lt;=10000000,"Comparable to ambient value","Higher than ambient value")),"")</f>
        <v>Comparable to ambient value</v>
      </c>
      <c r="Q105" s="35"/>
      <c r="R105" s="21">
        <f>IFERROR(L105*0.000000000000000084/0.0000000000523/(1+L105*0.000000000000000084/0.0000000000523),"")</f>
        <v>0.1473953594439254</v>
      </c>
      <c r="S105" s="34" t="str">
        <f>IF($L105&gt;0,IF($L105&lt;100000,"Lower than ambient value",IF($L105&lt;=10000000,"Comparable to ambient value","Higher than ambient value")),"")</f>
        <v>Comparable to ambient value</v>
      </c>
      <c r="T105" s="35"/>
      <c r="U105" s="21">
        <f>IFERROR(L105*0.0000000000000000127/0.0000000001/(1+L105*0.0000000000000000127/0.0000000001),"")</f>
        <v>1.3485459007830722E-2</v>
      </c>
      <c r="V105" s="34" t="str">
        <f>IF($L105&gt;0,IF($L105&lt;100000,"Lower than ambient value",IF($L105&lt;=10000000,"Comparable to ambient value","Higher than ambient value")),"")</f>
        <v>Comparable to ambient value</v>
      </c>
      <c r="W105" s="35"/>
    </row>
    <row r="106" spans="2:24" s="7" customFormat="1" x14ac:dyDescent="0.25"/>
    <row r="107" spans="2:24" s="5" customFormat="1" x14ac:dyDescent="0.25"/>
  </sheetData>
  <sheetProtection algorithmName="SHA-512" hashValue="0zkZb8SCr0S99XyuaIHK/r8wnRKR6yYAjH5q3MUy7ox9sgjtImFU57O8JX3CxQ9zr3TE/eG0dPrxmE5TgIVlaQ==" saltValue="m1o/YuB+CgYPdlkFhxxMxA==" spinCount="100000" sheet="1" objects="1" scenarios="1"/>
  <mergeCells count="297">
    <mergeCell ref="B36:E36"/>
    <mergeCell ref="E57:F57"/>
    <mergeCell ref="E73:F73"/>
    <mergeCell ref="E56:F56"/>
    <mergeCell ref="E72:F72"/>
    <mergeCell ref="B63:F63"/>
    <mergeCell ref="B41:E41"/>
    <mergeCell ref="B42:E42"/>
    <mergeCell ref="H40:L40"/>
    <mergeCell ref="H41:L41"/>
    <mergeCell ref="H42:L42"/>
    <mergeCell ref="K43:L43"/>
    <mergeCell ref="H43:J43"/>
    <mergeCell ref="H69:I69"/>
    <mergeCell ref="J69:K69"/>
    <mergeCell ref="L69:M69"/>
    <mergeCell ref="L70:N70"/>
    <mergeCell ref="L72:N72"/>
    <mergeCell ref="H44:L44"/>
    <mergeCell ref="I45:J45"/>
    <mergeCell ref="B68:D68"/>
    <mergeCell ref="E68:F68"/>
    <mergeCell ref="N37:O37"/>
    <mergeCell ref="N38:O38"/>
    <mergeCell ref="L57:N57"/>
    <mergeCell ref="L59:N59"/>
    <mergeCell ref="L61:N61"/>
    <mergeCell ref="L53:M53"/>
    <mergeCell ref="L55:M55"/>
    <mergeCell ref="L50:N51"/>
    <mergeCell ref="H51:I51"/>
    <mergeCell ref="H53:I53"/>
    <mergeCell ref="H55:I55"/>
    <mergeCell ref="H57:I57"/>
    <mergeCell ref="H59:I59"/>
    <mergeCell ref="L52:N52"/>
    <mergeCell ref="L54:N54"/>
    <mergeCell ref="H60:K60"/>
    <mergeCell ref="H49:W49"/>
    <mergeCell ref="O50:W50"/>
    <mergeCell ref="O51:W51"/>
    <mergeCell ref="O54:Q54"/>
    <mergeCell ref="R54:T54"/>
    <mergeCell ref="U54:W54"/>
    <mergeCell ref="U52:W52"/>
    <mergeCell ref="V53:W53"/>
    <mergeCell ref="B86:D86"/>
    <mergeCell ref="B95:F95"/>
    <mergeCell ref="E86:F86"/>
    <mergeCell ref="B85:F85"/>
    <mergeCell ref="H86:K86"/>
    <mergeCell ref="L60:N60"/>
    <mergeCell ref="O52:Q52"/>
    <mergeCell ref="P53:Q53"/>
    <mergeCell ref="R52:T52"/>
    <mergeCell ref="S53:T53"/>
    <mergeCell ref="J61:K61"/>
    <mergeCell ref="J57:K57"/>
    <mergeCell ref="J59:K59"/>
    <mergeCell ref="J55:K55"/>
    <mergeCell ref="E91:F91"/>
    <mergeCell ref="E90:F90"/>
    <mergeCell ref="P55:Q55"/>
    <mergeCell ref="S55:T55"/>
    <mergeCell ref="P59:Q59"/>
    <mergeCell ref="S59:T59"/>
    <mergeCell ref="O60:Q60"/>
    <mergeCell ref="R60:T60"/>
    <mergeCell ref="P61:Q61"/>
    <mergeCell ref="S61:T61"/>
    <mergeCell ref="B96:F96"/>
    <mergeCell ref="B98:F98"/>
    <mergeCell ref="B99:F99"/>
    <mergeCell ref="B97:F97"/>
    <mergeCell ref="H96:K96"/>
    <mergeCell ref="L96:N97"/>
    <mergeCell ref="O96:W96"/>
    <mergeCell ref="H97:I97"/>
    <mergeCell ref="J97:K97"/>
    <mergeCell ref="O97:W97"/>
    <mergeCell ref="H98:K98"/>
    <mergeCell ref="L98:N98"/>
    <mergeCell ref="O98:Q98"/>
    <mergeCell ref="R98:T98"/>
    <mergeCell ref="U98:W98"/>
    <mergeCell ref="H99:I99"/>
    <mergeCell ref="J99:K99"/>
    <mergeCell ref="L99:M99"/>
    <mergeCell ref="P99:Q99"/>
    <mergeCell ref="S99:T99"/>
    <mergeCell ref="V99:W99"/>
    <mergeCell ref="B79:D79"/>
    <mergeCell ref="E67:F67"/>
    <mergeCell ref="B66:F66"/>
    <mergeCell ref="B67:D67"/>
    <mergeCell ref="B78:C78"/>
    <mergeCell ref="B37:E37"/>
    <mergeCell ref="B39:E39"/>
    <mergeCell ref="H37:J37"/>
    <mergeCell ref="J51:K51"/>
    <mergeCell ref="B38:E38"/>
    <mergeCell ref="H38:J38"/>
    <mergeCell ref="B50:F50"/>
    <mergeCell ref="B65:F65"/>
    <mergeCell ref="B48:C48"/>
    <mergeCell ref="H67:I67"/>
    <mergeCell ref="B49:F49"/>
    <mergeCell ref="B51:F51"/>
    <mergeCell ref="B64:F64"/>
    <mergeCell ref="E52:F52"/>
    <mergeCell ref="B52:D52"/>
    <mergeCell ref="H68:K68"/>
    <mergeCell ref="H70:K70"/>
    <mergeCell ref="H72:K72"/>
    <mergeCell ref="B40:E40"/>
    <mergeCell ref="B83:F83"/>
    <mergeCell ref="B84:F84"/>
    <mergeCell ref="J53:K53"/>
    <mergeCell ref="L56:N56"/>
    <mergeCell ref="L58:N58"/>
    <mergeCell ref="V55:W55"/>
    <mergeCell ref="O56:Q56"/>
    <mergeCell ref="R56:T56"/>
    <mergeCell ref="U56:W56"/>
    <mergeCell ref="P57:Q57"/>
    <mergeCell ref="S57:T57"/>
    <mergeCell ref="V57:W57"/>
    <mergeCell ref="O58:Q58"/>
    <mergeCell ref="R58:T58"/>
    <mergeCell ref="U58:W58"/>
    <mergeCell ref="B81:C81"/>
    <mergeCell ref="B80:D80"/>
    <mergeCell ref="V61:W61"/>
    <mergeCell ref="H63:W63"/>
    <mergeCell ref="H64:K64"/>
    <mergeCell ref="L64:N65"/>
    <mergeCell ref="O64:W64"/>
    <mergeCell ref="H65:I65"/>
    <mergeCell ref="J65:K65"/>
    <mergeCell ref="P69:Q69"/>
    <mergeCell ref="S69:T69"/>
    <mergeCell ref="V69:W69"/>
    <mergeCell ref="O65:W65"/>
    <mergeCell ref="H66:K66"/>
    <mergeCell ref="L66:N66"/>
    <mergeCell ref="O66:Q66"/>
    <mergeCell ref="R66:T66"/>
    <mergeCell ref="U66:W66"/>
    <mergeCell ref="J67:K67"/>
    <mergeCell ref="L67:M67"/>
    <mergeCell ref="P67:Q67"/>
    <mergeCell ref="S67:T67"/>
    <mergeCell ref="V67:W67"/>
    <mergeCell ref="L68:N68"/>
    <mergeCell ref="O68:Q68"/>
    <mergeCell ref="R68:T68"/>
    <mergeCell ref="U68:W68"/>
    <mergeCell ref="O70:Q70"/>
    <mergeCell ref="R70:T70"/>
    <mergeCell ref="U70:W70"/>
    <mergeCell ref="H71:I71"/>
    <mergeCell ref="J71:K71"/>
    <mergeCell ref="L71:N71"/>
    <mergeCell ref="P71:Q71"/>
    <mergeCell ref="S71:T71"/>
    <mergeCell ref="V71:W71"/>
    <mergeCell ref="O72:Q72"/>
    <mergeCell ref="R72:T72"/>
    <mergeCell ref="U72:W72"/>
    <mergeCell ref="H75:I75"/>
    <mergeCell ref="J75:K75"/>
    <mergeCell ref="L75:N75"/>
    <mergeCell ref="P75:Q75"/>
    <mergeCell ref="S75:T75"/>
    <mergeCell ref="V75:W75"/>
    <mergeCell ref="H73:I73"/>
    <mergeCell ref="J73:K73"/>
    <mergeCell ref="L73:N73"/>
    <mergeCell ref="P73:Q73"/>
    <mergeCell ref="S73:T73"/>
    <mergeCell ref="V73:W73"/>
    <mergeCell ref="H74:K74"/>
    <mergeCell ref="L74:N74"/>
    <mergeCell ref="O74:Q74"/>
    <mergeCell ref="R74:T74"/>
    <mergeCell ref="U74:W74"/>
    <mergeCell ref="L86:N86"/>
    <mergeCell ref="O86:Q86"/>
    <mergeCell ref="R86:T86"/>
    <mergeCell ref="U86:W86"/>
    <mergeCell ref="H87:I87"/>
    <mergeCell ref="J87:K87"/>
    <mergeCell ref="L87:M87"/>
    <mergeCell ref="P87:Q87"/>
    <mergeCell ref="S87:T87"/>
    <mergeCell ref="V87:W87"/>
    <mergeCell ref="H91:I91"/>
    <mergeCell ref="J91:K91"/>
    <mergeCell ref="L91:N91"/>
    <mergeCell ref="P91:Q91"/>
    <mergeCell ref="S91:T91"/>
    <mergeCell ref="V91:W91"/>
    <mergeCell ref="H88:K88"/>
    <mergeCell ref="L88:N88"/>
    <mergeCell ref="O88:Q88"/>
    <mergeCell ref="R88:T88"/>
    <mergeCell ref="U88:W88"/>
    <mergeCell ref="H89:I89"/>
    <mergeCell ref="J89:K89"/>
    <mergeCell ref="L89:N89"/>
    <mergeCell ref="P89:Q89"/>
    <mergeCell ref="S89:T89"/>
    <mergeCell ref="V89:W89"/>
    <mergeCell ref="H95:W95"/>
    <mergeCell ref="H83:W83"/>
    <mergeCell ref="H84:K84"/>
    <mergeCell ref="L84:N85"/>
    <mergeCell ref="O84:W84"/>
    <mergeCell ref="H85:I85"/>
    <mergeCell ref="J85:K85"/>
    <mergeCell ref="O85:W85"/>
    <mergeCell ref="H92:K92"/>
    <mergeCell ref="L92:N92"/>
    <mergeCell ref="O92:Q92"/>
    <mergeCell ref="R92:T92"/>
    <mergeCell ref="U92:W92"/>
    <mergeCell ref="H93:I93"/>
    <mergeCell ref="J93:K93"/>
    <mergeCell ref="L93:N93"/>
    <mergeCell ref="P93:Q93"/>
    <mergeCell ref="S93:T93"/>
    <mergeCell ref="V93:W93"/>
    <mergeCell ref="H90:K90"/>
    <mergeCell ref="L90:N90"/>
    <mergeCell ref="O90:Q90"/>
    <mergeCell ref="R90:T90"/>
    <mergeCell ref="U90:W90"/>
    <mergeCell ref="H100:K100"/>
    <mergeCell ref="L100:N100"/>
    <mergeCell ref="O100:Q100"/>
    <mergeCell ref="R100:T100"/>
    <mergeCell ref="U100:W100"/>
    <mergeCell ref="H101:I101"/>
    <mergeCell ref="J101:K101"/>
    <mergeCell ref="L101:N101"/>
    <mergeCell ref="P101:Q101"/>
    <mergeCell ref="S101:T101"/>
    <mergeCell ref="V101:W101"/>
    <mergeCell ref="Q36:Y36"/>
    <mergeCell ref="S44:Y44"/>
    <mergeCell ref="H102:K102"/>
    <mergeCell ref="L102:N102"/>
    <mergeCell ref="O102:Q102"/>
    <mergeCell ref="R102:T102"/>
    <mergeCell ref="U102:W102"/>
    <mergeCell ref="H105:I105"/>
    <mergeCell ref="J105:K105"/>
    <mergeCell ref="L105:N105"/>
    <mergeCell ref="P105:Q105"/>
    <mergeCell ref="S105:T105"/>
    <mergeCell ref="V105:W105"/>
    <mergeCell ref="H103:I103"/>
    <mergeCell ref="J103:K103"/>
    <mergeCell ref="L103:N103"/>
    <mergeCell ref="P103:Q103"/>
    <mergeCell ref="S103:T103"/>
    <mergeCell ref="V103:W103"/>
    <mergeCell ref="H104:K104"/>
    <mergeCell ref="L104:N104"/>
    <mergeCell ref="O104:Q104"/>
    <mergeCell ref="R104:T104"/>
    <mergeCell ref="U104:W104"/>
    <mergeCell ref="W37:Y37"/>
    <mergeCell ref="W38:Y38"/>
    <mergeCell ref="W39:Y39"/>
    <mergeCell ref="W40:Y40"/>
    <mergeCell ref="W41:Y41"/>
    <mergeCell ref="W42:Y42"/>
    <mergeCell ref="W43:Y43"/>
    <mergeCell ref="S38:S40"/>
    <mergeCell ref="S41:S42"/>
    <mergeCell ref="T37:V37"/>
    <mergeCell ref="T38:V38"/>
    <mergeCell ref="T39:V39"/>
    <mergeCell ref="T40:V40"/>
    <mergeCell ref="T41:V41"/>
    <mergeCell ref="T42:V42"/>
    <mergeCell ref="T43:V43"/>
    <mergeCell ref="V59:W59"/>
    <mergeCell ref="U60:W60"/>
    <mergeCell ref="H39:I39"/>
    <mergeCell ref="H61:I61"/>
    <mergeCell ref="H50:K50"/>
    <mergeCell ref="H52:K52"/>
    <mergeCell ref="H54:K54"/>
    <mergeCell ref="H56:K56"/>
    <mergeCell ref="H58:K58"/>
  </mergeCells>
  <conditionalFormatting sqref="E57">
    <cfRule type="expression" dxfId="96" priority="243">
      <formula xml:space="preserve"> AND(AND($B$39&gt;0, $H$39&gt;0, $B$52&gt;0), NOT(OR(AND($B$39&gt;0,$B$39&lt;0.001), $H$39&gt;=100)), NOT(AND($B$39&gt;0.008, $H$39&lt;30, $B$52&gt;1000000000000)))</formula>
    </cfRule>
    <cfRule type="expression" dxfId="95" priority="244">
      <formula>AND(AND($B$39&gt;0, $H$39&gt;0, $B$52&gt;0),AND($B$39&gt;0.008, $H$39&lt;30, $B$52&gt;1000000000000))</formula>
    </cfRule>
    <cfRule type="expression" dxfId="94" priority="245">
      <formula xml:space="preserve"> AND(OR(AND($B$39&gt;0,$B$39&lt;0.001), $H$39&gt;=100), AND($B$39&gt;0, $H$39&gt;0, $B$52&gt;0))</formula>
    </cfRule>
  </conditionalFormatting>
  <conditionalFormatting sqref="E91">
    <cfRule type="expression" dxfId="93" priority="234">
      <formula xml:space="preserve"> AND(AND($B$39&gt;0, $H$39&gt;0), NOT(AND(OR($B$39&lt;0.001, $H$39&gt;200), AND($B$39&gt;0, $H$39&gt;0))), NOT(AND(AND($B$39&gt;0, $H$39&gt;0),AND($B$39&gt;0.005, $H$39&lt;50))))</formula>
    </cfRule>
    <cfRule type="expression" dxfId="92" priority="235">
      <formula>AND(AND($B$39&gt;0, $H$39&gt;0),AND($B$39&gt;0.005, $H$39&lt;50))</formula>
    </cfRule>
    <cfRule type="expression" dxfId="91" priority="236">
      <formula xml:space="preserve"> AND(OR($B$39&lt;0.001, $H$39&gt;200), AND($B$39&gt;0, $H$39&gt;0))</formula>
    </cfRule>
  </conditionalFormatting>
  <conditionalFormatting sqref="O55 O53 O57 O59 O61 R61 R59 R57 R55 R53 U53 U55 U57 U59 U61">
    <cfRule type="colorScale" priority="136">
      <colorScale>
        <cfvo type="num" val="0"/>
        <cfvo type="num" val="0.15"/>
        <cfvo type="num" val="0.5"/>
        <color rgb="FF63BE7B"/>
        <color rgb="FFFFEB84"/>
        <color rgb="FFF8696B"/>
      </colorScale>
    </cfRule>
  </conditionalFormatting>
  <conditionalFormatting sqref="E73">
    <cfRule type="expression" dxfId="90" priority="258">
      <formula xml:space="preserve"> AND(AND($B$39&gt;0, $H$39&gt;0, $H$67/$N$39&gt;0), NOT(OR(AND($B$39&gt;0,$B$39&lt;0.001), $H$39&gt;=100)), NOT(AND($B$39&gt;0.008, $H$39&lt;30, $H$67/$N$39&gt;1000000000000)))</formula>
    </cfRule>
    <cfRule type="expression" dxfId="89" priority="259">
      <formula>AND(AND($B$39&gt;0, $H$39&gt;0,$H$67/$N$39&gt;0),AND($B$39&gt;0.008, $H$39&lt;30, $H$67/$N$39&gt;1000000000000))</formula>
    </cfRule>
    <cfRule type="expression" dxfId="88" priority="260">
      <formula xml:space="preserve"> AND(OR(AND($B$39&gt;0,$B$39&lt;0.001), $H$39&gt;=100), AND($B$39&gt;0, $H$39&gt;0, $H$67/$N$39&gt;0))</formula>
    </cfRule>
  </conditionalFormatting>
  <conditionalFormatting sqref="P53 P55 S55 S53 V53 V55">
    <cfRule type="expression" dxfId="87" priority="131">
      <formula>AND(O53&gt;=0.5,O53&lt;=1)</formula>
    </cfRule>
    <cfRule type="expression" dxfId="86" priority="132">
      <formula>AND(O53&gt;=0.15,O53&lt;0.5)</formula>
    </cfRule>
    <cfRule type="expression" dxfId="85" priority="133">
      <formula>AND(O53&gt;=0.05,O53&lt;0.15)</formula>
    </cfRule>
    <cfRule type="expression" dxfId="84" priority="134">
      <formula>AND(O53&gt;=0,O53&lt;0.05)</formula>
    </cfRule>
  </conditionalFormatting>
  <conditionalFormatting sqref="P57:Q57">
    <cfRule type="expression" dxfId="83" priority="130">
      <formula>OR($L57&lt;0.000001,$L57&gt;0.0001)</formula>
    </cfRule>
    <cfRule type="expression" dxfId="82" priority="129">
      <formula>AND($L57&gt;=0.000001,$L57&lt;=0.0001)</formula>
    </cfRule>
  </conditionalFormatting>
  <conditionalFormatting sqref="S57:T57">
    <cfRule type="expression" dxfId="81" priority="117">
      <formula>AND($L57&gt;=0.000001,$L57&lt;=0.0001)</formula>
    </cfRule>
    <cfRule type="expression" dxfId="80" priority="118">
      <formula>OR($L57&lt;0.000001,$L57&gt;0.0001)</formula>
    </cfRule>
  </conditionalFormatting>
  <conditionalFormatting sqref="V57:W57">
    <cfRule type="expression" dxfId="79" priority="113">
      <formula>AND($L57&gt;=0.000001,$L57&lt;=0.0001)</formula>
    </cfRule>
    <cfRule type="expression" dxfId="78" priority="114">
      <formula>OR($L57&lt;0.000001,$L57&gt;0.0001)</formula>
    </cfRule>
  </conditionalFormatting>
  <conditionalFormatting sqref="P59:Q59">
    <cfRule type="expression" dxfId="77" priority="109">
      <formula>AND($L59&gt;=0.0012,$L59&lt;=0.12)</formula>
    </cfRule>
    <cfRule type="expression" dxfId="76" priority="110">
      <formula>OR($L59&lt;0.0012,$L59&gt;0.12)</formula>
    </cfRule>
  </conditionalFormatting>
  <conditionalFormatting sqref="S59:T59">
    <cfRule type="expression" dxfId="75" priority="107">
      <formula>AND($L59&gt;=0.0012,$L59&lt;=0.12)</formula>
    </cfRule>
    <cfRule type="expression" dxfId="74" priority="108">
      <formula>OR($L59&lt;0.0012,$L59&gt;0.12)</formula>
    </cfRule>
  </conditionalFormatting>
  <conditionalFormatting sqref="V59:W59">
    <cfRule type="expression" dxfId="73" priority="103">
      <formula>AND($L59&gt;=0.0012,$L59&lt;=0.12)</formula>
    </cfRule>
    <cfRule type="expression" dxfId="72" priority="104">
      <formula>OR($L59&lt;0.0012,$L59&gt;0.12)</formula>
    </cfRule>
  </conditionalFormatting>
  <conditionalFormatting sqref="P61:Q61">
    <cfRule type="expression" dxfId="71" priority="99">
      <formula>AND($L61&gt;=100000,$L61&lt;=10000000)</formula>
    </cfRule>
    <cfRule type="expression" dxfId="70" priority="100">
      <formula>OR($L61&lt;100000,$L61&gt;10000000)</formula>
    </cfRule>
  </conditionalFormatting>
  <conditionalFormatting sqref="S61:T61">
    <cfRule type="expression" dxfId="69" priority="97">
      <formula>AND($L61&gt;=100000,$L61&lt;=10000000)</formula>
    </cfRule>
    <cfRule type="expression" dxfId="68" priority="98">
      <formula>OR($L61&lt;100000,$L61&gt;10000000)</formula>
    </cfRule>
  </conditionalFormatting>
  <conditionalFormatting sqref="V61:W61">
    <cfRule type="expression" dxfId="67" priority="93">
      <formula>AND($L61&gt;=100000,$L61&lt;=10000000)</formula>
    </cfRule>
    <cfRule type="expression" dxfId="66" priority="94">
      <formula>OR($L61&lt;100000,$L61&gt;10000000)</formula>
    </cfRule>
  </conditionalFormatting>
  <conditionalFormatting sqref="O69 O67 O71 O73 O75 R75 R73 R71 R69 R67 U67 U69 U71 U73 U75">
    <cfRule type="colorScale" priority="92">
      <colorScale>
        <cfvo type="num" val="0"/>
        <cfvo type="num" val="0.15"/>
        <cfvo type="num" val="0.5"/>
        <color rgb="FF63BE7B"/>
        <color rgb="FFFFEB84"/>
        <color rgb="FFF8696B"/>
      </colorScale>
    </cfRule>
  </conditionalFormatting>
  <conditionalFormatting sqref="P67 P69 S69 S67 V67 V69">
    <cfRule type="expression" dxfId="65" priority="88">
      <formula>AND(O67&gt;=0.5,O67&lt;=1)</formula>
    </cfRule>
    <cfRule type="expression" dxfId="64" priority="89">
      <formula>AND(O67&gt;=0.15,O67&lt;0.5)</formula>
    </cfRule>
    <cfRule type="expression" dxfId="63" priority="90">
      <formula>AND(O67&gt;=0.05,O67&lt;0.15)</formula>
    </cfRule>
    <cfRule type="expression" dxfId="62" priority="91">
      <formula>AND(O67&gt;=0,O67&lt;0.05)</formula>
    </cfRule>
  </conditionalFormatting>
  <conditionalFormatting sqref="P71:Q71">
    <cfRule type="expression" dxfId="61" priority="86">
      <formula>AND($L71&gt;=0.000001,$L71&lt;=0.0001)</formula>
    </cfRule>
    <cfRule type="expression" dxfId="60" priority="87">
      <formula>OR($L71&lt;0.000001,$L71&gt;0.0001)</formula>
    </cfRule>
  </conditionalFormatting>
  <conditionalFormatting sqref="S71:T71">
    <cfRule type="expression" dxfId="59" priority="84">
      <formula>AND($L71&gt;=0.000001,$L71&lt;=0.0001)</formula>
    </cfRule>
    <cfRule type="expression" dxfId="58" priority="85">
      <formula>OR($L71&lt;0.000001,$L71&gt;0.0001)</formula>
    </cfRule>
  </conditionalFormatting>
  <conditionalFormatting sqref="V71:W71">
    <cfRule type="expression" dxfId="57" priority="82">
      <formula>AND($L71&gt;=0.000001,$L71&lt;=0.0001)</formula>
    </cfRule>
    <cfRule type="expression" dxfId="56" priority="83">
      <formula>OR($L71&lt;0.000001,$L71&gt;0.0001)</formula>
    </cfRule>
  </conditionalFormatting>
  <conditionalFormatting sqref="P73:Q73">
    <cfRule type="expression" dxfId="55" priority="80">
      <formula>AND($L73&gt;=0.0012,$L73&lt;=0.12)</formula>
    </cfRule>
    <cfRule type="expression" dxfId="54" priority="81">
      <formula>OR($L73&lt;0.0012,$L73&gt;0.12)</formula>
    </cfRule>
  </conditionalFormatting>
  <conditionalFormatting sqref="S73:T73">
    <cfRule type="expression" dxfId="53" priority="78">
      <formula>AND($L73&gt;=0.0012,$L73&lt;=0.12)</formula>
    </cfRule>
    <cfRule type="expression" dxfId="52" priority="79">
      <formula>OR($L73&lt;0.0012,$L73&gt;0.12)</formula>
    </cfRule>
  </conditionalFormatting>
  <conditionalFormatting sqref="V73:W73">
    <cfRule type="expression" dxfId="51" priority="76">
      <formula>AND($L73&gt;=0.0012,$L73&lt;=0.12)</formula>
    </cfRule>
    <cfRule type="expression" dxfId="50" priority="77">
      <formula>OR($L73&lt;0.0012,$L73&gt;0.12)</formula>
    </cfRule>
  </conditionalFormatting>
  <conditionalFormatting sqref="P75:Q75">
    <cfRule type="expression" dxfId="49" priority="74">
      <formula>AND($L75&gt;=100000,$L75&lt;=10000000)</formula>
    </cfRule>
    <cfRule type="expression" dxfId="48" priority="75">
      <formula>OR($L75&lt;100000,$L75&gt;10000000)</formula>
    </cfRule>
  </conditionalFormatting>
  <conditionalFormatting sqref="S75:T75">
    <cfRule type="expression" dxfId="47" priority="72">
      <formula>AND($L75&gt;=100000,$L75&lt;=10000000)</formula>
    </cfRule>
    <cfRule type="expression" dxfId="46" priority="73">
      <formula>OR($L75&lt;100000,$L75&gt;10000000)</formula>
    </cfRule>
  </conditionalFormatting>
  <conditionalFormatting sqref="V75:W75">
    <cfRule type="expression" dxfId="45" priority="70">
      <formula>AND($L75&gt;=100000,$L75&lt;=10000000)</formula>
    </cfRule>
    <cfRule type="expression" dxfId="44" priority="71">
      <formula>OR($L75&lt;100000,$L75&gt;10000000)</formula>
    </cfRule>
  </conditionalFormatting>
  <conditionalFormatting sqref="O89 O87 O91 O93 R93 R91 R89 R87 U87 U89 U91 U93">
    <cfRule type="colorScale" priority="69">
      <colorScale>
        <cfvo type="num" val="0"/>
        <cfvo type="num" val="0.15"/>
        <cfvo type="num" val="0.5"/>
        <color rgb="FF63BE7B"/>
        <color rgb="FFFFEB84"/>
        <color rgb="FFF8696B"/>
      </colorScale>
    </cfRule>
  </conditionalFormatting>
  <conditionalFormatting sqref="P87 S87 V87">
    <cfRule type="expression" dxfId="43" priority="65">
      <formula>AND(O87&gt;=0.5,O87&lt;=1)</formula>
    </cfRule>
    <cfRule type="expression" dxfId="42" priority="66">
      <formula>AND(O87&gt;=0.15,O87&lt;0.5)</formula>
    </cfRule>
    <cfRule type="expression" dxfId="41" priority="67">
      <formula>AND(O87&gt;=0.05,O87&lt;0.15)</formula>
    </cfRule>
    <cfRule type="expression" dxfId="40" priority="68">
      <formula>AND(O87&gt;=0,O87&lt;0.05)</formula>
    </cfRule>
  </conditionalFormatting>
  <conditionalFormatting sqref="P89:Q89">
    <cfRule type="expression" dxfId="39" priority="63">
      <formula>AND($L89&gt;=0.000001,$L89&lt;=0.0001)</formula>
    </cfRule>
    <cfRule type="expression" dxfId="38" priority="64">
      <formula>OR($L89&lt;0.000001,$L89&gt;0.0001)</formula>
    </cfRule>
  </conditionalFormatting>
  <conditionalFormatting sqref="S89:T89">
    <cfRule type="expression" dxfId="37" priority="61">
      <formula>AND($L89&gt;=0.000001,$L89&lt;=0.0001)</formula>
    </cfRule>
    <cfRule type="expression" dxfId="36" priority="62">
      <formula>OR($L89&lt;0.000001,$L89&gt;0.0001)</formula>
    </cfRule>
  </conditionalFormatting>
  <conditionalFormatting sqref="V89:W89">
    <cfRule type="expression" dxfId="35" priority="59">
      <formula>AND($L89&gt;=0.000001,$L89&lt;=0.0001)</formula>
    </cfRule>
    <cfRule type="expression" dxfId="34" priority="60">
      <formula>OR($L89&lt;0.000001,$L89&gt;0.0001)</formula>
    </cfRule>
  </conditionalFormatting>
  <conditionalFormatting sqref="P91:Q91">
    <cfRule type="expression" dxfId="33" priority="57">
      <formula>AND($L91&gt;=0.0012,$L91&lt;=0.12)</formula>
    </cfRule>
    <cfRule type="expression" dxfId="32" priority="58">
      <formula>OR($L91&lt;0.0012,$L91&gt;0.12)</formula>
    </cfRule>
  </conditionalFormatting>
  <conditionalFormatting sqref="S91:T91">
    <cfRule type="expression" dxfId="31" priority="55">
      <formula>AND($L91&gt;=0.0012,$L91&lt;=0.12)</formula>
    </cfRule>
    <cfRule type="expression" dxfId="30" priority="56">
      <formula>OR($L91&lt;0.0012,$L91&gt;0.12)</formula>
    </cfRule>
  </conditionalFormatting>
  <conditionalFormatting sqref="V91:W91">
    <cfRule type="expression" dxfId="29" priority="53">
      <formula>AND($L91&gt;=0.0012,$L91&lt;=0.12)</formula>
    </cfRule>
    <cfRule type="expression" dxfId="28" priority="54">
      <formula>OR($L91&lt;0.0012,$L91&gt;0.12)</formula>
    </cfRule>
  </conditionalFormatting>
  <conditionalFormatting sqref="P93:Q93">
    <cfRule type="expression" dxfId="27" priority="51">
      <formula>AND($L93&gt;=100000,$L93&lt;=10000000)</formula>
    </cfRule>
    <cfRule type="expression" dxfId="26" priority="52">
      <formula>OR($L93&lt;100000,$L93&gt;10000000)</formula>
    </cfRule>
  </conditionalFormatting>
  <conditionalFormatting sqref="S93:T93">
    <cfRule type="expression" dxfId="25" priority="49">
      <formula>AND($L93&gt;=100000,$L93&lt;=10000000)</formula>
    </cfRule>
    <cfRule type="expression" dxfId="24" priority="50">
      <formula>OR($L93&lt;100000,$L93&gt;10000000)</formula>
    </cfRule>
  </conditionalFormatting>
  <conditionalFormatting sqref="V93:W93">
    <cfRule type="expression" dxfId="23" priority="47">
      <formula>AND($L93&gt;=100000,$L93&lt;=10000000)</formula>
    </cfRule>
    <cfRule type="expression" dxfId="22" priority="48">
      <formula>OR($L93&lt;100000,$L93&gt;10000000)</formula>
    </cfRule>
  </conditionalFormatting>
  <conditionalFormatting sqref="O101 O99 O103 O105 R105 R103 R101 R99 U99 U101 U103 U105">
    <cfRule type="colorScale" priority="23">
      <colorScale>
        <cfvo type="num" val="0"/>
        <cfvo type="num" val="0.15"/>
        <cfvo type="num" val="0.5"/>
        <color rgb="FF63BE7B"/>
        <color rgb="FFFFEB84"/>
        <color rgb="FFF8696B"/>
      </colorScale>
    </cfRule>
  </conditionalFormatting>
  <conditionalFormatting sqref="P99 S99 V99">
    <cfRule type="expression" dxfId="21" priority="19">
      <formula>AND(O99&gt;=0.5,O99&lt;=1)</formula>
    </cfRule>
    <cfRule type="expression" dxfId="20" priority="20">
      <formula>AND(O99&gt;=0.15,O99&lt;0.5)</formula>
    </cfRule>
    <cfRule type="expression" dxfId="19" priority="21">
      <formula>AND(O99&gt;=0.05,O99&lt;0.15)</formula>
    </cfRule>
    <cfRule type="expression" dxfId="18" priority="22">
      <formula>AND(O99&gt;=0,O99&lt;0.05)</formula>
    </cfRule>
  </conditionalFormatting>
  <conditionalFormatting sqref="P101:Q101">
    <cfRule type="expression" dxfId="17" priority="17">
      <formula>AND($L101&gt;=0.000001,$L101&lt;=0.0001)</formula>
    </cfRule>
    <cfRule type="expression" dxfId="16" priority="18">
      <formula>OR($L101&lt;0.000001,$L101&gt;0.0001)</formula>
    </cfRule>
  </conditionalFormatting>
  <conditionalFormatting sqref="S101:T101">
    <cfRule type="expression" dxfId="15" priority="15">
      <formula>AND($L101&gt;=0.000001,$L101&lt;=0.0001)</formula>
    </cfRule>
    <cfRule type="expression" dxfId="14" priority="16">
      <formula>OR($L101&lt;0.000001,$L101&gt;0.0001)</formula>
    </cfRule>
  </conditionalFormatting>
  <conditionalFormatting sqref="V101:W101">
    <cfRule type="expression" dxfId="13" priority="13">
      <formula>AND($L101&gt;=0.000001,$L101&lt;=0.0001)</formula>
    </cfRule>
    <cfRule type="expression" dxfId="12" priority="14">
      <formula>OR($L101&lt;0.000001,$L101&gt;0.0001)</formula>
    </cfRule>
  </conditionalFormatting>
  <conditionalFormatting sqref="P103:Q103">
    <cfRule type="expression" dxfId="11" priority="11">
      <formula>AND($L103&gt;=0.0012,$L103&lt;=0.12)</formula>
    </cfRule>
    <cfRule type="expression" dxfId="10" priority="12">
      <formula>OR($L103&lt;0.0012,$L103&gt;0.12)</formula>
    </cfRule>
  </conditionalFormatting>
  <conditionalFormatting sqref="S103:T103">
    <cfRule type="expression" dxfId="9" priority="9">
      <formula>AND($L103&gt;=0.0012,$L103&lt;=0.12)</formula>
    </cfRule>
    <cfRule type="expression" dxfId="8" priority="10">
      <formula>OR($L103&lt;0.0012,$L103&gt;0.12)</formula>
    </cfRule>
  </conditionalFormatting>
  <conditionalFormatting sqref="V103:W103">
    <cfRule type="expression" dxfId="7" priority="7">
      <formula>AND($L103&gt;=0.0012,$L103&lt;=0.12)</formula>
    </cfRule>
    <cfRule type="expression" dxfId="6" priority="8">
      <formula>OR($L103&lt;0.0012,$L103&gt;0.12)</formula>
    </cfRule>
  </conditionalFormatting>
  <conditionalFormatting sqref="P105:Q105">
    <cfRule type="expression" dxfId="5" priority="5">
      <formula>AND($L105&gt;=100000,$L105&lt;=10000000)</formula>
    </cfRule>
    <cfRule type="expression" dxfId="4" priority="6">
      <formula>OR($L105&lt;100000,$L105&gt;10000000)</formula>
    </cfRule>
  </conditionalFormatting>
  <conditionalFormatting sqref="S105:T105">
    <cfRule type="expression" dxfId="3" priority="3">
      <formula>AND($L105&gt;=100000,$L105&lt;=10000000)</formula>
    </cfRule>
    <cfRule type="expression" dxfId="2" priority="4">
      <formula>OR($L105&lt;100000,$L105&gt;10000000)</formula>
    </cfRule>
  </conditionalFormatting>
  <conditionalFormatting sqref="V105:W105">
    <cfRule type="expression" dxfId="1" priority="1">
      <formula>AND($L105&gt;=100000,$L105&lt;=10000000)</formula>
    </cfRule>
    <cfRule type="expression" dxfId="0" priority="2">
      <formula>OR($L105&lt;100000,$L105&gt;10000000)</formula>
    </cfRule>
  </conditionalFormatting>
  <hyperlinks>
    <hyperlink ref="J3" r:id="rId1"/>
    <hyperlink ref="J4" r:id="rId2"/>
    <hyperlink ref="J32" r:id="rId3"/>
    <hyperlink ref="J5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 Peng</dc:creator>
  <cp:lastModifiedBy>Jose-Luis Jimenez</cp:lastModifiedBy>
  <dcterms:created xsi:type="dcterms:W3CDTF">2016-03-09T21:02:52Z</dcterms:created>
  <dcterms:modified xsi:type="dcterms:W3CDTF">2016-03-30T18:00:17Z</dcterms:modified>
</cp:coreProperties>
</file>