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-1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12" i="1" l="1"/>
  <c r="Q112" i="1"/>
  <c r="R112" i="1"/>
  <c r="S112" i="1"/>
  <c r="P113" i="1"/>
  <c r="Q113" i="1"/>
  <c r="R113" i="1"/>
  <c r="S113" i="1"/>
  <c r="P114" i="1"/>
  <c r="Q114" i="1"/>
  <c r="R114" i="1"/>
  <c r="S114" i="1"/>
  <c r="S111" i="1"/>
  <c r="R111" i="1"/>
  <c r="Q111" i="1"/>
  <c r="P111" i="1"/>
  <c r="S108" i="1"/>
  <c r="R108" i="1"/>
  <c r="Q108" i="1"/>
  <c r="P108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S71" i="1"/>
  <c r="R71" i="1"/>
  <c r="Q71" i="1"/>
  <c r="P71" i="1"/>
  <c r="P64" i="1"/>
  <c r="P86" i="1" s="1"/>
  <c r="Q64" i="1"/>
  <c r="Q86" i="1" s="1"/>
  <c r="R64" i="1"/>
  <c r="R86" i="1" s="1"/>
  <c r="S64" i="1"/>
  <c r="S86" i="1" s="1"/>
  <c r="P65" i="1"/>
  <c r="P87" i="1" s="1"/>
  <c r="Q65" i="1"/>
  <c r="Q87" i="1" s="1"/>
  <c r="R65" i="1"/>
  <c r="R87" i="1" s="1"/>
  <c r="S65" i="1"/>
  <c r="S87" i="1" s="1"/>
  <c r="P66" i="1"/>
  <c r="P88" i="1" s="1"/>
  <c r="Q66" i="1"/>
  <c r="Q88" i="1" s="1"/>
  <c r="R66" i="1"/>
  <c r="R88" i="1" s="1"/>
  <c r="S66" i="1"/>
  <c r="S88" i="1" s="1"/>
  <c r="P67" i="1"/>
  <c r="P89" i="1" s="1"/>
  <c r="Q67" i="1"/>
  <c r="Q89" i="1" s="1"/>
  <c r="R67" i="1"/>
  <c r="R89" i="1" s="1"/>
  <c r="S67" i="1"/>
  <c r="S89" i="1" s="1"/>
  <c r="S63" i="1"/>
  <c r="S85" i="1" s="1"/>
  <c r="R63" i="1"/>
  <c r="R85" i="1" s="1"/>
  <c r="Q63" i="1"/>
  <c r="Q85" i="1" s="1"/>
  <c r="P63" i="1"/>
  <c r="P85" i="1" s="1"/>
  <c r="X112" i="1" l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AQ67" i="1"/>
  <c r="AQ89" i="1" s="1"/>
  <c r="AP67" i="1"/>
  <c r="AP89" i="1" s="1"/>
  <c r="AO67" i="1"/>
  <c r="AO89" i="1" s="1"/>
  <c r="AN67" i="1"/>
  <c r="AN89" i="1" s="1"/>
  <c r="AQ66" i="1"/>
  <c r="AQ88" i="1" s="1"/>
  <c r="AP66" i="1"/>
  <c r="AP88" i="1" s="1"/>
  <c r="AO66" i="1"/>
  <c r="AO88" i="1" s="1"/>
  <c r="AN66" i="1"/>
  <c r="AN88" i="1" s="1"/>
  <c r="AQ65" i="1"/>
  <c r="AQ87" i="1" s="1"/>
  <c r="AP65" i="1"/>
  <c r="AP87" i="1" s="1"/>
  <c r="AO65" i="1"/>
  <c r="AO87" i="1" s="1"/>
  <c r="AN65" i="1"/>
  <c r="AN87" i="1" s="1"/>
  <c r="AQ64" i="1"/>
  <c r="AQ86" i="1" s="1"/>
  <c r="AP64" i="1"/>
  <c r="AP86" i="1" s="1"/>
  <c r="AO64" i="1"/>
  <c r="AO86" i="1" s="1"/>
  <c r="AN64" i="1"/>
  <c r="AN86" i="1" s="1"/>
  <c r="AQ63" i="1"/>
  <c r="AQ85" i="1" s="1"/>
  <c r="AP63" i="1"/>
  <c r="AP85" i="1" s="1"/>
  <c r="AO63" i="1"/>
  <c r="AO85" i="1" s="1"/>
  <c r="AN63" i="1"/>
  <c r="AN85" i="1" s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Q71" i="1"/>
  <c r="AP71" i="1"/>
  <c r="AO71" i="1"/>
  <c r="AN71" i="1"/>
  <c r="AL71" i="1"/>
  <c r="AM71" i="1"/>
  <c r="AK71" i="1"/>
  <c r="AJ71" i="1"/>
  <c r="AI71" i="1"/>
  <c r="AH71" i="1"/>
  <c r="AG71" i="1"/>
  <c r="AF71" i="1"/>
  <c r="AE71" i="1"/>
  <c r="AD71" i="1"/>
  <c r="AC71" i="1"/>
  <c r="AB71" i="1"/>
  <c r="AJ63" i="1"/>
  <c r="AJ85" i="1" s="1"/>
  <c r="AK63" i="1"/>
  <c r="AK85" i="1" s="1"/>
  <c r="AL63" i="1"/>
  <c r="AL85" i="1" s="1"/>
  <c r="AM63" i="1"/>
  <c r="AM85" i="1" s="1"/>
  <c r="AJ64" i="1"/>
  <c r="AJ86" i="1" s="1"/>
  <c r="AK64" i="1"/>
  <c r="AK86" i="1" s="1"/>
  <c r="AL64" i="1"/>
  <c r="AL86" i="1" s="1"/>
  <c r="AM64" i="1"/>
  <c r="AM86" i="1" s="1"/>
  <c r="AJ65" i="1"/>
  <c r="AJ87" i="1" s="1"/>
  <c r="AK65" i="1"/>
  <c r="AK87" i="1" s="1"/>
  <c r="AL65" i="1"/>
  <c r="AL87" i="1" s="1"/>
  <c r="AM65" i="1"/>
  <c r="AM87" i="1" s="1"/>
  <c r="AJ66" i="1"/>
  <c r="AJ88" i="1" s="1"/>
  <c r="AK66" i="1"/>
  <c r="AK88" i="1" s="1"/>
  <c r="AL66" i="1"/>
  <c r="AL88" i="1" s="1"/>
  <c r="AM66" i="1"/>
  <c r="AM88" i="1" s="1"/>
  <c r="AJ67" i="1"/>
  <c r="AJ89" i="1" s="1"/>
  <c r="AK67" i="1"/>
  <c r="AK89" i="1" s="1"/>
  <c r="AL67" i="1"/>
  <c r="AL89" i="1" s="1"/>
  <c r="AM67" i="1"/>
  <c r="AM89" i="1" s="1"/>
  <c r="AF63" i="1"/>
  <c r="AF85" i="1" s="1"/>
  <c r="AG63" i="1"/>
  <c r="AG85" i="1" s="1"/>
  <c r="AH63" i="1"/>
  <c r="AH85" i="1" s="1"/>
  <c r="AI63" i="1"/>
  <c r="AI85" i="1" s="1"/>
  <c r="AF64" i="1"/>
  <c r="AF86" i="1" s="1"/>
  <c r="AG64" i="1"/>
  <c r="AG86" i="1" s="1"/>
  <c r="AH64" i="1"/>
  <c r="AH86" i="1" s="1"/>
  <c r="AI64" i="1"/>
  <c r="AI86" i="1" s="1"/>
  <c r="AF65" i="1"/>
  <c r="AF87" i="1" s="1"/>
  <c r="AG65" i="1"/>
  <c r="AG87" i="1" s="1"/>
  <c r="AH65" i="1"/>
  <c r="AH87" i="1" s="1"/>
  <c r="AI65" i="1"/>
  <c r="AI87" i="1" s="1"/>
  <c r="AF66" i="1"/>
  <c r="AF88" i="1" s="1"/>
  <c r="AG66" i="1"/>
  <c r="AG88" i="1" s="1"/>
  <c r="AH66" i="1"/>
  <c r="AH88" i="1" s="1"/>
  <c r="AI66" i="1"/>
  <c r="AI88" i="1" s="1"/>
  <c r="AF67" i="1"/>
  <c r="AF89" i="1" s="1"/>
  <c r="AG67" i="1"/>
  <c r="AG89" i="1" s="1"/>
  <c r="AH67" i="1"/>
  <c r="AH89" i="1" s="1"/>
  <c r="AI67" i="1"/>
  <c r="AI89" i="1" s="1"/>
  <c r="Y72" i="1"/>
  <c r="Z72" i="1"/>
  <c r="AA72" i="1"/>
  <c r="Y73" i="1"/>
  <c r="Z73" i="1"/>
  <c r="AA73" i="1"/>
  <c r="Y74" i="1"/>
  <c r="Z74" i="1"/>
  <c r="AA74" i="1"/>
  <c r="Y75" i="1"/>
  <c r="Z75" i="1"/>
  <c r="AA75" i="1"/>
  <c r="Y76" i="1"/>
  <c r="Z76" i="1"/>
  <c r="AA76" i="1"/>
  <c r="Y77" i="1"/>
  <c r="Z77" i="1"/>
  <c r="AA77" i="1"/>
  <c r="Y78" i="1"/>
  <c r="Z78" i="1"/>
  <c r="AA78" i="1"/>
  <c r="Y79" i="1"/>
  <c r="Z79" i="1"/>
  <c r="AA79" i="1"/>
  <c r="Y80" i="1"/>
  <c r="Z80" i="1"/>
  <c r="AA80" i="1"/>
  <c r="Y81" i="1"/>
  <c r="Z81" i="1"/>
  <c r="AA81" i="1"/>
  <c r="Y82" i="1"/>
  <c r="Z82" i="1"/>
  <c r="AA82" i="1"/>
  <c r="AA71" i="1"/>
  <c r="Z71" i="1"/>
  <c r="Y71" i="1"/>
  <c r="X72" i="1"/>
  <c r="X73" i="1"/>
  <c r="X74" i="1"/>
  <c r="X75" i="1"/>
  <c r="X76" i="1"/>
  <c r="X77" i="1"/>
  <c r="X78" i="1"/>
  <c r="X79" i="1"/>
  <c r="X80" i="1"/>
  <c r="X81" i="1"/>
  <c r="X82" i="1"/>
  <c r="X71" i="1"/>
  <c r="X63" i="1"/>
  <c r="X85" i="1" s="1"/>
  <c r="Y63" i="1"/>
  <c r="Y85" i="1" s="1"/>
  <c r="Z63" i="1"/>
  <c r="Z85" i="1" s="1"/>
  <c r="AA63" i="1"/>
  <c r="AA85" i="1" s="1"/>
  <c r="AB63" i="1"/>
  <c r="AB85" i="1" s="1"/>
  <c r="AC63" i="1"/>
  <c r="AC85" i="1" s="1"/>
  <c r="AD63" i="1"/>
  <c r="AD85" i="1" s="1"/>
  <c r="AE63" i="1"/>
  <c r="AE85" i="1" s="1"/>
  <c r="X64" i="1"/>
  <c r="X86" i="1" s="1"/>
  <c r="Y64" i="1"/>
  <c r="Y86" i="1" s="1"/>
  <c r="Z64" i="1"/>
  <c r="Z86" i="1" s="1"/>
  <c r="AA64" i="1"/>
  <c r="AA86" i="1" s="1"/>
  <c r="AB64" i="1"/>
  <c r="AB86" i="1" s="1"/>
  <c r="AC64" i="1"/>
  <c r="AC86" i="1" s="1"/>
  <c r="AD64" i="1"/>
  <c r="AD86" i="1" s="1"/>
  <c r="AE64" i="1"/>
  <c r="AE86" i="1" s="1"/>
  <c r="X65" i="1"/>
  <c r="X87" i="1" s="1"/>
  <c r="Y65" i="1"/>
  <c r="Y87" i="1" s="1"/>
  <c r="Z65" i="1"/>
  <c r="Z87" i="1" s="1"/>
  <c r="AA65" i="1"/>
  <c r="AA87" i="1" s="1"/>
  <c r="AB65" i="1"/>
  <c r="AB87" i="1" s="1"/>
  <c r="AC65" i="1"/>
  <c r="AC87" i="1" s="1"/>
  <c r="AD65" i="1"/>
  <c r="AD87" i="1" s="1"/>
  <c r="AE65" i="1"/>
  <c r="AE87" i="1" s="1"/>
  <c r="X66" i="1"/>
  <c r="X88" i="1" s="1"/>
  <c r="Y66" i="1"/>
  <c r="Y88" i="1" s="1"/>
  <c r="Z66" i="1"/>
  <c r="Z88" i="1" s="1"/>
  <c r="AA66" i="1"/>
  <c r="AA88" i="1" s="1"/>
  <c r="AB66" i="1"/>
  <c r="AB88" i="1" s="1"/>
  <c r="AC66" i="1"/>
  <c r="AC88" i="1" s="1"/>
  <c r="AD66" i="1"/>
  <c r="AD88" i="1" s="1"/>
  <c r="AE66" i="1"/>
  <c r="AE88" i="1" s="1"/>
  <c r="X67" i="1"/>
  <c r="X89" i="1" s="1"/>
  <c r="Y67" i="1"/>
  <c r="Y89" i="1" s="1"/>
  <c r="Z67" i="1"/>
  <c r="Z89" i="1" s="1"/>
  <c r="AA67" i="1"/>
  <c r="AA89" i="1" s="1"/>
  <c r="AB67" i="1"/>
  <c r="AB89" i="1" s="1"/>
  <c r="AC67" i="1"/>
  <c r="AC89" i="1" s="1"/>
  <c r="AD67" i="1"/>
  <c r="AD89" i="1" s="1"/>
  <c r="AE67" i="1"/>
  <c r="AE89" i="1" s="1"/>
  <c r="W112" i="1" l="1"/>
  <c r="A82" i="1" l="1"/>
  <c r="A81" i="1"/>
  <c r="A80" i="1"/>
  <c r="A79" i="1"/>
  <c r="A71" i="1"/>
  <c r="A60" i="1"/>
  <c r="A59" i="1"/>
  <c r="A58" i="1"/>
  <c r="A57" i="1"/>
  <c r="A49" i="1"/>
  <c r="A85" i="1"/>
  <c r="H112" i="1"/>
  <c r="I112" i="1"/>
  <c r="J112" i="1"/>
  <c r="K112" i="1"/>
  <c r="L112" i="1"/>
  <c r="M112" i="1"/>
  <c r="N112" i="1"/>
  <c r="O112" i="1"/>
  <c r="T112" i="1"/>
  <c r="U112" i="1"/>
  <c r="V112" i="1"/>
  <c r="H113" i="1"/>
  <c r="I113" i="1"/>
  <c r="J113" i="1"/>
  <c r="K113" i="1"/>
  <c r="L113" i="1"/>
  <c r="M113" i="1"/>
  <c r="N113" i="1"/>
  <c r="O113" i="1"/>
  <c r="T113" i="1"/>
  <c r="U113" i="1"/>
  <c r="V113" i="1"/>
  <c r="W113" i="1"/>
  <c r="H114" i="1"/>
  <c r="I114" i="1"/>
  <c r="J114" i="1"/>
  <c r="K114" i="1"/>
  <c r="L114" i="1"/>
  <c r="M114" i="1"/>
  <c r="N114" i="1"/>
  <c r="O114" i="1"/>
  <c r="T114" i="1"/>
  <c r="U114" i="1"/>
  <c r="V114" i="1"/>
  <c r="W114" i="1"/>
  <c r="W111" i="1"/>
  <c r="V111" i="1"/>
  <c r="U111" i="1"/>
  <c r="T111" i="1"/>
  <c r="O111" i="1"/>
  <c r="N111" i="1"/>
  <c r="M111" i="1"/>
  <c r="L111" i="1"/>
  <c r="K111" i="1"/>
  <c r="J111" i="1"/>
  <c r="I111" i="1"/>
  <c r="H111" i="1"/>
  <c r="T108" i="1"/>
  <c r="U108" i="1"/>
  <c r="V108" i="1"/>
  <c r="W108" i="1"/>
  <c r="O108" i="1"/>
  <c r="N108" i="1"/>
  <c r="M108" i="1"/>
  <c r="L108" i="1"/>
  <c r="K108" i="1"/>
  <c r="J108" i="1"/>
  <c r="I108" i="1"/>
  <c r="H108" i="1"/>
  <c r="A107" i="1"/>
  <c r="A106" i="1"/>
  <c r="A105" i="1"/>
  <c r="A104" i="1"/>
  <c r="A114" i="1"/>
  <c r="A113" i="1"/>
  <c r="A112" i="1"/>
  <c r="A111" i="1"/>
  <c r="H72" i="1"/>
  <c r="I72" i="1"/>
  <c r="J72" i="1"/>
  <c r="K72" i="1"/>
  <c r="L72" i="1"/>
  <c r="M72" i="1"/>
  <c r="N72" i="1"/>
  <c r="O72" i="1"/>
  <c r="T72" i="1"/>
  <c r="U72" i="1"/>
  <c r="V72" i="1"/>
  <c r="W72" i="1"/>
  <c r="H73" i="1"/>
  <c r="I73" i="1"/>
  <c r="J73" i="1"/>
  <c r="K73" i="1"/>
  <c r="L73" i="1"/>
  <c r="M73" i="1"/>
  <c r="N73" i="1"/>
  <c r="O73" i="1"/>
  <c r="T73" i="1"/>
  <c r="U73" i="1"/>
  <c r="V73" i="1"/>
  <c r="W73" i="1"/>
  <c r="H74" i="1"/>
  <c r="I74" i="1"/>
  <c r="J74" i="1"/>
  <c r="K74" i="1"/>
  <c r="L74" i="1"/>
  <c r="M74" i="1"/>
  <c r="N74" i="1"/>
  <c r="O74" i="1"/>
  <c r="T74" i="1"/>
  <c r="U74" i="1"/>
  <c r="V74" i="1"/>
  <c r="W74" i="1"/>
  <c r="H75" i="1"/>
  <c r="I75" i="1"/>
  <c r="J75" i="1"/>
  <c r="K75" i="1"/>
  <c r="L75" i="1"/>
  <c r="M75" i="1"/>
  <c r="N75" i="1"/>
  <c r="O75" i="1"/>
  <c r="T75" i="1"/>
  <c r="U75" i="1"/>
  <c r="V75" i="1"/>
  <c r="W75" i="1"/>
  <c r="H76" i="1"/>
  <c r="I76" i="1"/>
  <c r="J76" i="1"/>
  <c r="K76" i="1"/>
  <c r="L76" i="1"/>
  <c r="M76" i="1"/>
  <c r="N76" i="1"/>
  <c r="O76" i="1"/>
  <c r="T76" i="1"/>
  <c r="U76" i="1"/>
  <c r="V76" i="1"/>
  <c r="W76" i="1"/>
  <c r="H77" i="1"/>
  <c r="I77" i="1"/>
  <c r="J77" i="1"/>
  <c r="K77" i="1"/>
  <c r="L77" i="1"/>
  <c r="M77" i="1"/>
  <c r="N77" i="1"/>
  <c r="O77" i="1"/>
  <c r="T77" i="1"/>
  <c r="U77" i="1"/>
  <c r="V77" i="1"/>
  <c r="W77" i="1"/>
  <c r="H78" i="1"/>
  <c r="I78" i="1"/>
  <c r="J78" i="1"/>
  <c r="K78" i="1"/>
  <c r="L78" i="1"/>
  <c r="M78" i="1"/>
  <c r="N78" i="1"/>
  <c r="O78" i="1"/>
  <c r="T78" i="1"/>
  <c r="U78" i="1"/>
  <c r="V78" i="1"/>
  <c r="W78" i="1"/>
  <c r="H79" i="1"/>
  <c r="I79" i="1"/>
  <c r="J79" i="1"/>
  <c r="K79" i="1"/>
  <c r="L79" i="1"/>
  <c r="M79" i="1"/>
  <c r="N79" i="1"/>
  <c r="O79" i="1"/>
  <c r="T79" i="1"/>
  <c r="U79" i="1"/>
  <c r="V79" i="1"/>
  <c r="W79" i="1"/>
  <c r="H80" i="1"/>
  <c r="I80" i="1"/>
  <c r="J80" i="1"/>
  <c r="K80" i="1"/>
  <c r="L80" i="1"/>
  <c r="M80" i="1"/>
  <c r="N80" i="1"/>
  <c r="O80" i="1"/>
  <c r="T80" i="1"/>
  <c r="U80" i="1"/>
  <c r="V80" i="1"/>
  <c r="W80" i="1"/>
  <c r="H81" i="1"/>
  <c r="I81" i="1"/>
  <c r="J81" i="1"/>
  <c r="K81" i="1"/>
  <c r="L81" i="1"/>
  <c r="M81" i="1"/>
  <c r="N81" i="1"/>
  <c r="O81" i="1"/>
  <c r="T81" i="1"/>
  <c r="U81" i="1"/>
  <c r="V81" i="1"/>
  <c r="W81" i="1"/>
  <c r="H82" i="1"/>
  <c r="I82" i="1"/>
  <c r="J82" i="1"/>
  <c r="K82" i="1"/>
  <c r="L82" i="1"/>
  <c r="M82" i="1"/>
  <c r="N82" i="1"/>
  <c r="O82" i="1"/>
  <c r="T82" i="1"/>
  <c r="U82" i="1"/>
  <c r="V82" i="1"/>
  <c r="W82" i="1"/>
  <c r="W71" i="1"/>
  <c r="V71" i="1"/>
  <c r="U71" i="1"/>
  <c r="T71" i="1"/>
  <c r="O71" i="1"/>
  <c r="N71" i="1"/>
  <c r="M71" i="1"/>
  <c r="L71" i="1"/>
  <c r="K71" i="1"/>
  <c r="J71" i="1"/>
  <c r="I71" i="1"/>
  <c r="H71" i="1"/>
  <c r="G71" i="1"/>
  <c r="G72" i="1"/>
  <c r="G73" i="1"/>
  <c r="G74" i="1"/>
  <c r="G75" i="1"/>
  <c r="G76" i="1"/>
  <c r="G77" i="1"/>
  <c r="G78" i="1"/>
  <c r="G79" i="1"/>
  <c r="G80" i="1"/>
  <c r="G81" i="1"/>
  <c r="G82" i="1"/>
  <c r="F71" i="1"/>
  <c r="F72" i="1"/>
  <c r="F73" i="1"/>
  <c r="F74" i="1"/>
  <c r="F75" i="1"/>
  <c r="F76" i="1"/>
  <c r="F77" i="1"/>
  <c r="F78" i="1"/>
  <c r="F79" i="1"/>
  <c r="F80" i="1"/>
  <c r="F81" i="1"/>
  <c r="F82" i="1"/>
  <c r="E71" i="1"/>
  <c r="E72" i="1"/>
  <c r="E73" i="1"/>
  <c r="E74" i="1"/>
  <c r="E75" i="1"/>
  <c r="E76" i="1"/>
  <c r="E77" i="1"/>
  <c r="E78" i="1"/>
  <c r="E79" i="1"/>
  <c r="E80" i="1"/>
  <c r="E81" i="1"/>
  <c r="E82" i="1"/>
  <c r="D71" i="1"/>
  <c r="D72" i="1"/>
  <c r="D73" i="1"/>
  <c r="D74" i="1"/>
  <c r="D75" i="1"/>
  <c r="D76" i="1"/>
  <c r="D77" i="1"/>
  <c r="D78" i="1"/>
  <c r="D79" i="1"/>
  <c r="D80" i="1"/>
  <c r="D81" i="1"/>
  <c r="D82" i="1"/>
  <c r="C71" i="1"/>
  <c r="C72" i="1"/>
  <c r="C73" i="1"/>
  <c r="C74" i="1"/>
  <c r="C75" i="1"/>
  <c r="C76" i="1"/>
  <c r="C77" i="1"/>
  <c r="C78" i="1"/>
  <c r="C79" i="1"/>
  <c r="C80" i="1"/>
  <c r="C81" i="1"/>
  <c r="C82" i="1"/>
  <c r="B71" i="1"/>
  <c r="B72" i="1"/>
  <c r="B73" i="1"/>
  <c r="B74" i="1"/>
  <c r="B75" i="1"/>
  <c r="B76" i="1"/>
  <c r="B77" i="1"/>
  <c r="B78" i="1"/>
  <c r="B79" i="1"/>
  <c r="B80" i="1"/>
  <c r="B81" i="1"/>
  <c r="B82" i="1"/>
  <c r="B63" i="1"/>
  <c r="B85" i="1" s="1"/>
  <c r="C63" i="1"/>
  <c r="C85" i="1" s="1"/>
  <c r="D63" i="1"/>
  <c r="D85" i="1" s="1"/>
  <c r="E63" i="1"/>
  <c r="E85" i="1" s="1"/>
  <c r="F63" i="1"/>
  <c r="F85" i="1" s="1"/>
  <c r="G63" i="1"/>
  <c r="G85" i="1" s="1"/>
  <c r="H63" i="1"/>
  <c r="H85" i="1" s="1"/>
  <c r="I63" i="1"/>
  <c r="I85" i="1" s="1"/>
  <c r="J63" i="1"/>
  <c r="J85" i="1" s="1"/>
  <c r="K63" i="1"/>
  <c r="K85" i="1" s="1"/>
  <c r="L63" i="1"/>
  <c r="L85" i="1" s="1"/>
  <c r="M63" i="1"/>
  <c r="M85" i="1" s="1"/>
  <c r="N63" i="1"/>
  <c r="N85" i="1" s="1"/>
  <c r="O63" i="1"/>
  <c r="O85" i="1" s="1"/>
  <c r="T63" i="1"/>
  <c r="T85" i="1" s="1"/>
  <c r="U63" i="1"/>
  <c r="U85" i="1" s="1"/>
  <c r="V63" i="1"/>
  <c r="V85" i="1" s="1"/>
  <c r="W63" i="1"/>
  <c r="W85" i="1" s="1"/>
  <c r="B64" i="1"/>
  <c r="B86" i="1" s="1"/>
  <c r="C64" i="1"/>
  <c r="C86" i="1" s="1"/>
  <c r="D64" i="1"/>
  <c r="D86" i="1" s="1"/>
  <c r="E64" i="1"/>
  <c r="E86" i="1" s="1"/>
  <c r="F64" i="1"/>
  <c r="F86" i="1" s="1"/>
  <c r="G64" i="1"/>
  <c r="G86" i="1" s="1"/>
  <c r="H64" i="1"/>
  <c r="H86" i="1" s="1"/>
  <c r="I64" i="1"/>
  <c r="I86" i="1" s="1"/>
  <c r="J64" i="1"/>
  <c r="J86" i="1" s="1"/>
  <c r="K64" i="1"/>
  <c r="K86" i="1" s="1"/>
  <c r="L64" i="1"/>
  <c r="L86" i="1" s="1"/>
  <c r="M64" i="1"/>
  <c r="M86" i="1" s="1"/>
  <c r="N64" i="1"/>
  <c r="N86" i="1" s="1"/>
  <c r="O64" i="1"/>
  <c r="O86" i="1" s="1"/>
  <c r="T64" i="1"/>
  <c r="T86" i="1" s="1"/>
  <c r="U64" i="1"/>
  <c r="U86" i="1" s="1"/>
  <c r="V64" i="1"/>
  <c r="V86" i="1" s="1"/>
  <c r="W64" i="1"/>
  <c r="W86" i="1" s="1"/>
  <c r="B65" i="1"/>
  <c r="B87" i="1" s="1"/>
  <c r="C65" i="1"/>
  <c r="C87" i="1" s="1"/>
  <c r="D65" i="1"/>
  <c r="D87" i="1" s="1"/>
  <c r="E65" i="1"/>
  <c r="E87" i="1" s="1"/>
  <c r="F65" i="1"/>
  <c r="F87" i="1" s="1"/>
  <c r="G65" i="1"/>
  <c r="G87" i="1" s="1"/>
  <c r="H65" i="1"/>
  <c r="H87" i="1" s="1"/>
  <c r="I65" i="1"/>
  <c r="I87" i="1" s="1"/>
  <c r="J65" i="1"/>
  <c r="J87" i="1" s="1"/>
  <c r="K65" i="1"/>
  <c r="K87" i="1" s="1"/>
  <c r="L65" i="1"/>
  <c r="L87" i="1" s="1"/>
  <c r="M65" i="1"/>
  <c r="M87" i="1" s="1"/>
  <c r="N65" i="1"/>
  <c r="N87" i="1" s="1"/>
  <c r="O65" i="1"/>
  <c r="O87" i="1" s="1"/>
  <c r="T65" i="1"/>
  <c r="T87" i="1" s="1"/>
  <c r="U65" i="1"/>
  <c r="U87" i="1" s="1"/>
  <c r="V65" i="1"/>
  <c r="V87" i="1" s="1"/>
  <c r="W65" i="1"/>
  <c r="W87" i="1" s="1"/>
  <c r="B66" i="1"/>
  <c r="B88" i="1" s="1"/>
  <c r="C66" i="1"/>
  <c r="C88" i="1" s="1"/>
  <c r="D66" i="1"/>
  <c r="D88" i="1" s="1"/>
  <c r="E66" i="1"/>
  <c r="E88" i="1" s="1"/>
  <c r="F66" i="1"/>
  <c r="F88" i="1" s="1"/>
  <c r="G66" i="1"/>
  <c r="G88" i="1" s="1"/>
  <c r="H66" i="1"/>
  <c r="H88" i="1" s="1"/>
  <c r="I66" i="1"/>
  <c r="I88" i="1" s="1"/>
  <c r="J66" i="1"/>
  <c r="J88" i="1" s="1"/>
  <c r="K66" i="1"/>
  <c r="K88" i="1" s="1"/>
  <c r="L66" i="1"/>
  <c r="L88" i="1" s="1"/>
  <c r="M66" i="1"/>
  <c r="M88" i="1" s="1"/>
  <c r="N66" i="1"/>
  <c r="N88" i="1" s="1"/>
  <c r="O66" i="1"/>
  <c r="O88" i="1" s="1"/>
  <c r="T66" i="1"/>
  <c r="T88" i="1" s="1"/>
  <c r="U66" i="1"/>
  <c r="U88" i="1" s="1"/>
  <c r="V66" i="1"/>
  <c r="V88" i="1" s="1"/>
  <c r="W66" i="1"/>
  <c r="W88" i="1" s="1"/>
  <c r="B67" i="1"/>
  <c r="B89" i="1" s="1"/>
  <c r="C67" i="1"/>
  <c r="C89" i="1" s="1"/>
  <c r="D67" i="1"/>
  <c r="D89" i="1" s="1"/>
  <c r="E67" i="1"/>
  <c r="E89" i="1" s="1"/>
  <c r="F67" i="1"/>
  <c r="F89" i="1" s="1"/>
  <c r="G67" i="1"/>
  <c r="G89" i="1" s="1"/>
  <c r="H67" i="1"/>
  <c r="H89" i="1" s="1"/>
  <c r="I67" i="1"/>
  <c r="I89" i="1" s="1"/>
  <c r="J67" i="1"/>
  <c r="J89" i="1" s="1"/>
  <c r="K67" i="1"/>
  <c r="K89" i="1" s="1"/>
  <c r="L67" i="1"/>
  <c r="L89" i="1" s="1"/>
  <c r="M67" i="1"/>
  <c r="M89" i="1" s="1"/>
  <c r="N67" i="1"/>
  <c r="N89" i="1" s="1"/>
  <c r="O67" i="1"/>
  <c r="O89" i="1" s="1"/>
  <c r="T67" i="1"/>
  <c r="T89" i="1" s="1"/>
  <c r="U67" i="1"/>
  <c r="U89" i="1" s="1"/>
  <c r="V67" i="1"/>
  <c r="V89" i="1" s="1"/>
  <c r="W67" i="1"/>
  <c r="W89" i="1" s="1"/>
</calcChain>
</file>

<file path=xl/sharedStrings.xml><?xml version="1.0" encoding="utf-8"?>
<sst xmlns="http://schemas.openxmlformats.org/spreadsheetml/2006/main" count="355" uniqueCount="126">
  <si>
    <t>Elev</t>
  </si>
  <si>
    <t>Slope</t>
  </si>
  <si>
    <t>Dist Stream</t>
  </si>
  <si>
    <t>Dist Grass</t>
  </si>
  <si>
    <t>Cos(aspect)</t>
  </si>
  <si>
    <t>Sin(aspect)</t>
  </si>
  <si>
    <t>Flammap -- crownactiv</t>
  </si>
  <si>
    <t>Median</t>
  </si>
  <si>
    <t>Interquartile Range</t>
  </si>
  <si>
    <t>Minimum</t>
  </si>
  <si>
    <t>Maximum</t>
  </si>
  <si>
    <t>Low</t>
  </si>
  <si>
    <t>Mod</t>
  </si>
  <si>
    <t>0E -11</t>
  </si>
  <si>
    <t>Fireline Intensity (firelinein)</t>
  </si>
  <si>
    <t>Fourmile -- MTBS</t>
  </si>
  <si>
    <t>Hayman -- MTBS</t>
  </si>
  <si>
    <t>Number of points</t>
  </si>
  <si>
    <t>V Low</t>
  </si>
  <si>
    <t>V. Low</t>
  </si>
  <si>
    <t>Flammap -- quartile</t>
  </si>
  <si>
    <t>1st quartile (&lt;23559)</t>
  </si>
  <si>
    <t>2nd and 3rd quartile (23559-55066)</t>
  </si>
  <si>
    <t>4th quartile (&gt;55066)</t>
  </si>
  <si>
    <t>0E -1</t>
  </si>
  <si>
    <t>Picnic Rock -- MTBS</t>
  </si>
  <si>
    <t>Surface</t>
  </si>
  <si>
    <t>Crown</t>
  </si>
  <si>
    <t>Total</t>
  </si>
  <si>
    <t>Percentage of severity classes in each veg class</t>
  </si>
  <si>
    <t>mixed (2049, 2051, 2052, 2055, 2061)</t>
  </si>
  <si>
    <t>pico (2050)</t>
  </si>
  <si>
    <t>pipo (2054)</t>
  </si>
  <si>
    <t>shrub (2086)</t>
  </si>
  <si>
    <t>grass (2135, 2139)</t>
  </si>
  <si>
    <t>% pico (2050)</t>
  </si>
  <si>
    <t>% pipo (2054)</t>
  </si>
  <si>
    <t>% shrub (2086)</t>
  </si>
  <si>
    <t>% grass (2135, 2139)</t>
  </si>
  <si>
    <t>2050 (Rocky Mountain Lodgepole Pine Forest)</t>
  </si>
  <si>
    <t>2051 (Southern Rocky Mountain Dry-Mesic Montane Mixed Conifer Forest and Woodland)</t>
  </si>
  <si>
    <t>2052 (Southern Rocky Mountain Mesic Montane Mixed Conifer Forest and Woodland)</t>
  </si>
  <si>
    <t>2054 (Southern Rocky Mountain Ponderosa Pine Woodland)</t>
  </si>
  <si>
    <t>2055 (Rocky Mountain Subalpine Dry-Mesic Spruce-Fir Forest and Woodland)</t>
  </si>
  <si>
    <t>2061 (Inter-Mountain Basins Aspen-Mixed Conifer Forest and Woodland)</t>
  </si>
  <si>
    <t>2080 (Inter-Mountain Basins Big Sagebrush Shrubland)</t>
  </si>
  <si>
    <t>% 2050 (Rocky Mountain Lodgepole Pine Forest)</t>
  </si>
  <si>
    <t>% 2051 (Southern Rocky Mountain Dry-Mesic Montane Mixed Conifer Forest and Woodland)</t>
  </si>
  <si>
    <t>% 2052 (Southern Rocky Mountain Mesic Montane Mixed Conifer Forest and Woodland)</t>
  </si>
  <si>
    <t>% 2054 (Southern Rocky Mountain Ponderosa Pine Woodland)</t>
  </si>
  <si>
    <t>% 2055 (Rocky Mountain Subalpine Dry-Mesic Spruce-Fir Forest and Woodland)</t>
  </si>
  <si>
    <t>% 2061 (Inter-Mountain Basins Aspen-Mixed Conifer Forest and Woodland)</t>
  </si>
  <si>
    <t>% 2080 (Inter-Mountain Basins Big Sagebrush Shrubland)</t>
  </si>
  <si>
    <t>Bobcat--MTBS</t>
  </si>
  <si>
    <t>Big Elk--MTBS</t>
  </si>
  <si>
    <t>Overland--MTBS</t>
  </si>
  <si>
    <t>High Meadows--MTBS</t>
  </si>
  <si>
    <t>Crystal--MTBS</t>
  </si>
  <si>
    <t>Big Elk</t>
  </si>
  <si>
    <t>vegtype * co40537105 Crosstabulation</t>
  </si>
  <si>
    <t>Count</t>
  </si>
  <si>
    <t>0</t>
  </si>
  <si>
    <t>1</t>
  </si>
  <si>
    <t>2</t>
  </si>
  <si>
    <t>3</t>
  </si>
  <si>
    <t>4</t>
  </si>
  <si>
    <t>5</t>
  </si>
  <si>
    <t>vegtype</t>
  </si>
  <si>
    <t>3011</t>
  </si>
  <si>
    <t>3050</t>
  </si>
  <si>
    <t>3051</t>
  </si>
  <si>
    <t>3052</t>
  </si>
  <si>
    <t>3054</t>
  </si>
  <si>
    <t>3055</t>
  </si>
  <si>
    <t>3059</t>
  </si>
  <si>
    <t>3061</t>
  </si>
  <si>
    <t>3080</t>
  </si>
  <si>
    <t>3086</t>
  </si>
  <si>
    <t>3093</t>
  </si>
  <si>
    <t>3127</t>
  </si>
  <si>
    <t>3146</t>
  </si>
  <si>
    <t>3159</t>
  </si>
  <si>
    <t>3181</t>
  </si>
  <si>
    <t>3182</t>
  </si>
  <si>
    <t>3217</t>
  </si>
  <si>
    <t>3220</t>
  </si>
  <si>
    <t>3923</t>
  </si>
  <si>
    <t>3965</t>
  </si>
  <si>
    <t>Crystal</t>
  </si>
  <si>
    <t>vegtype * fs_0210_01 Crosstabulation</t>
  </si>
  <si>
    <t>3016</t>
  </si>
  <si>
    <t>3292</t>
  </si>
  <si>
    <t>3294</t>
  </si>
  <si>
    <t>Bobcat</t>
  </si>
  <si>
    <t>vegtype * fs_0210_04 Crosstabulation</t>
  </si>
  <si>
    <t>3057</t>
  </si>
  <si>
    <t>3135</t>
  </si>
  <si>
    <t>3145</t>
  </si>
  <si>
    <t>3252</t>
  </si>
  <si>
    <t>vegtype * fs_0210_05 Crosstabulation</t>
  </si>
  <si>
    <t>6</t>
  </si>
  <si>
    <t>3001</t>
  </si>
  <si>
    <t>3117</t>
  </si>
  <si>
    <t>3299</t>
  </si>
  <si>
    <t>3900</t>
  </si>
  <si>
    <t>3924</t>
  </si>
  <si>
    <t>3964</t>
  </si>
  <si>
    <t>Overland</t>
  </si>
  <si>
    <t>vegtype * fs_0212_04 Crosstabulation</t>
  </si>
  <si>
    <t>3160</t>
  </si>
  <si>
    <t>3901</t>
  </si>
  <si>
    <t>High Meadows</t>
  </si>
  <si>
    <t>High Park -- MTBS</t>
  </si>
  <si>
    <t>Kruskal Wallis Test</t>
  </si>
  <si>
    <t>Chi-Square</t>
  </si>
  <si>
    <t>Asymp. Sig.</t>
  </si>
  <si>
    <t>Pearson Chi-Square</t>
  </si>
  <si>
    <t>Chi Square Test (0/1 vs 2/3)</t>
  </si>
  <si>
    <t>Excluded from validation</t>
  </si>
  <si>
    <t>(Pre-LANDFIRE)</t>
  </si>
  <si>
    <t>High</t>
  </si>
  <si>
    <t>Table S1. Summary table of biophysical factors for each observed fire and potential fire model in analysis.</t>
  </si>
  <si>
    <t>EVT groupings reported in the study</t>
  </si>
  <si>
    <t>LANDFIRE Existing Vegetation Type (EVT) - No. points</t>
  </si>
  <si>
    <t>Crown Fire Class (crownactiv) - No. points</t>
  </si>
  <si>
    <t>Mixed-Torch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</si>
</sst>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"/>
    <numFmt numFmtId="165" formatCode="0.000"/>
    <numFmt numFmtId="166" formatCode="####.000"/>
    <numFmt numFmtId="167" formatCode="###0.00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5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5" fillId="0" borderId="0"/>
    <xf numFmtId="0" fontId="9" fillId="0" borderId="0"/>
    <xf numFmtId="0" fontId="5" fillId="0" borderId="0"/>
  </cellStyleXfs>
  <cellXfs count="125">
    <xf numFmtId="0" fontId="0" fillId="0" borderId="0" xfId="0"/>
    <xf numFmtId="0" fontId="0" fillId="0" borderId="0" xfId="0" applyAlignment="1">
      <alignment horizontal="left" indent="2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0" fillId="2" borderId="0" xfId="0" applyFill="1" applyAlignment="1">
      <alignment horizontal="left"/>
    </xf>
    <xf numFmtId="9" fontId="0" fillId="0" borderId="0" xfId="0" applyNumberFormat="1" applyAlignment="1">
      <alignment horizontal="left" indent="2"/>
    </xf>
    <xf numFmtId="0" fontId="0" fillId="0" borderId="0" xfId="0" applyFont="1" applyAlignment="1">
      <alignment horizontal="left" indent="2"/>
    </xf>
    <xf numFmtId="0" fontId="0" fillId="5" borderId="0" xfId="0" applyFill="1"/>
    <xf numFmtId="11" fontId="0" fillId="4" borderId="0" xfId="0" applyNumberFormat="1" applyFill="1"/>
    <xf numFmtId="10" fontId="0" fillId="3" borderId="0" xfId="0" applyNumberFormat="1" applyFill="1"/>
    <xf numFmtId="10" fontId="0" fillId="4" borderId="0" xfId="0" applyNumberFormat="1" applyFill="1"/>
    <xf numFmtId="10" fontId="0" fillId="0" borderId="0" xfId="0" applyNumberFormat="1" applyFill="1"/>
    <xf numFmtId="0" fontId="4" fillId="2" borderId="0" xfId="0" applyFont="1" applyFill="1"/>
    <xf numFmtId="0" fontId="1" fillId="0" borderId="0" xfId="0" applyFont="1" applyAlignment="1">
      <alignment horizontal="left" indent="2"/>
    </xf>
    <xf numFmtId="10" fontId="1" fillId="0" borderId="0" xfId="0" applyNumberFormat="1" applyFont="1" applyFill="1"/>
    <xf numFmtId="10" fontId="1" fillId="3" borderId="0" xfId="0" applyNumberFormat="1" applyFont="1" applyFill="1"/>
    <xf numFmtId="10" fontId="1" fillId="4" borderId="0" xfId="0" applyNumberFormat="1" applyFont="1" applyFill="1"/>
    <xf numFmtId="9" fontId="0" fillId="0" borderId="0" xfId="0" applyNumberFormat="1" applyFont="1" applyAlignment="1">
      <alignment horizontal="left" indent="2"/>
    </xf>
    <xf numFmtId="2" fontId="0" fillId="3" borderId="0" xfId="0" applyNumberFormat="1" applyFill="1"/>
    <xf numFmtId="1" fontId="0" fillId="0" borderId="0" xfId="0" applyNumberFormat="1" applyFill="1"/>
    <xf numFmtId="1" fontId="0" fillId="3" borderId="0" xfId="0" applyNumberFormat="1" applyFill="1"/>
    <xf numFmtId="1" fontId="0" fillId="4" borderId="0" xfId="0" applyNumberFormat="1" applyFill="1"/>
    <xf numFmtId="1" fontId="0" fillId="4" borderId="0" xfId="1" applyNumberFormat="1" applyFont="1" applyFill="1"/>
    <xf numFmtId="1" fontId="0" fillId="3" borderId="0" xfId="1" applyNumberFormat="1" applyFont="1" applyFill="1"/>
    <xf numFmtId="0" fontId="0" fillId="0" borderId="0" xfId="0" applyNumberFormat="1" applyFill="1"/>
    <xf numFmtId="0" fontId="1" fillId="3" borderId="0" xfId="0" applyNumberFormat="1" applyFont="1" applyFill="1"/>
    <xf numFmtId="0" fontId="0" fillId="3" borderId="0" xfId="0" applyNumberFormat="1" applyFill="1"/>
    <xf numFmtId="0" fontId="0" fillId="4" borderId="0" xfId="0" applyNumberFormat="1" applyFill="1"/>
    <xf numFmtId="0" fontId="1" fillId="4" borderId="0" xfId="0" applyNumberFormat="1" applyFont="1" applyFill="1"/>
    <xf numFmtId="0" fontId="0" fillId="0" borderId="0" xfId="0" applyNumberFormat="1"/>
    <xf numFmtId="0" fontId="1" fillId="0" borderId="0" xfId="0" applyNumberFormat="1" applyFont="1"/>
    <xf numFmtId="9" fontId="0" fillId="0" borderId="0" xfId="1" applyFont="1"/>
    <xf numFmtId="0" fontId="0" fillId="0" borderId="0" xfId="0" applyNumberFormat="1" applyFont="1" applyFill="1"/>
    <xf numFmtId="0" fontId="0" fillId="0" borderId="0" xfId="0" applyNumberFormat="1" applyFont="1"/>
    <xf numFmtId="0" fontId="0" fillId="3" borderId="0" xfId="0" applyNumberFormat="1" applyFont="1" applyFill="1"/>
    <xf numFmtId="9" fontId="3" fillId="3" borderId="0" xfId="1" applyFont="1" applyFill="1"/>
    <xf numFmtId="9" fontId="0" fillId="3" borderId="0" xfId="1" applyFont="1" applyFill="1"/>
    <xf numFmtId="9" fontId="0" fillId="4" borderId="0" xfId="1" applyFont="1" applyFill="1"/>
    <xf numFmtId="0" fontId="0" fillId="6" borderId="0" xfId="0" applyFill="1"/>
    <xf numFmtId="0" fontId="7" fillId="0" borderId="10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4" xfId="3" applyFont="1" applyBorder="1" applyAlignment="1">
      <alignment horizontal="left" vertical="top"/>
    </xf>
    <xf numFmtId="164" fontId="7" fillId="0" borderId="13" xfId="3" applyNumberFormat="1" applyFont="1" applyBorder="1" applyAlignment="1">
      <alignment horizontal="right" vertical="top"/>
    </xf>
    <xf numFmtId="164" fontId="7" fillId="0" borderId="14" xfId="3" applyNumberFormat="1" applyFont="1" applyBorder="1" applyAlignment="1">
      <alignment horizontal="right" vertical="top"/>
    </xf>
    <xf numFmtId="164" fontId="7" fillId="0" borderId="15" xfId="3" applyNumberFormat="1" applyFont="1" applyBorder="1" applyAlignment="1">
      <alignment horizontal="right" vertical="top"/>
    </xf>
    <xf numFmtId="0" fontId="7" fillId="0" borderId="17" xfId="3" applyFont="1" applyBorder="1" applyAlignment="1">
      <alignment horizontal="left" vertical="top"/>
    </xf>
    <xf numFmtId="164" fontId="7" fillId="0" borderId="18" xfId="3" applyNumberFormat="1" applyFont="1" applyBorder="1" applyAlignment="1">
      <alignment horizontal="right" vertical="top"/>
    </xf>
    <xf numFmtId="164" fontId="7" fillId="0" borderId="19" xfId="3" applyNumberFormat="1" applyFont="1" applyBorder="1" applyAlignment="1">
      <alignment horizontal="right" vertical="top"/>
    </xf>
    <xf numFmtId="164" fontId="7" fillId="0" borderId="20" xfId="3" applyNumberFormat="1" applyFont="1" applyBorder="1" applyAlignment="1">
      <alignment horizontal="right" vertical="top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23" xfId="3" applyNumberFormat="1" applyFont="1" applyBorder="1" applyAlignment="1">
      <alignment horizontal="right" vertical="top"/>
    </xf>
    <xf numFmtId="0" fontId="10" fillId="0" borderId="10" xfId="4" applyFont="1" applyBorder="1" applyAlignment="1">
      <alignment horizontal="center"/>
    </xf>
    <xf numFmtId="0" fontId="10" fillId="0" borderId="11" xfId="4" applyFont="1" applyBorder="1" applyAlignment="1">
      <alignment horizontal="center"/>
    </xf>
    <xf numFmtId="0" fontId="10" fillId="0" borderId="4" xfId="4" applyFont="1" applyBorder="1" applyAlignment="1">
      <alignment horizontal="left" vertical="top"/>
    </xf>
    <xf numFmtId="164" fontId="10" fillId="0" borderId="13" xfId="4" applyNumberFormat="1" applyFont="1" applyBorder="1" applyAlignment="1">
      <alignment horizontal="right" vertical="top"/>
    </xf>
    <xf numFmtId="164" fontId="10" fillId="0" borderId="14" xfId="4" applyNumberFormat="1" applyFont="1" applyBorder="1" applyAlignment="1">
      <alignment horizontal="right" vertical="top"/>
    </xf>
    <xf numFmtId="164" fontId="10" fillId="0" borderId="15" xfId="4" applyNumberFormat="1" applyFont="1" applyBorder="1" applyAlignment="1">
      <alignment horizontal="right" vertical="top"/>
    </xf>
    <xf numFmtId="0" fontId="10" fillId="0" borderId="17" xfId="4" applyFont="1" applyBorder="1" applyAlignment="1">
      <alignment horizontal="left" vertical="top"/>
    </xf>
    <xf numFmtId="164" fontId="10" fillId="0" borderId="18" xfId="4" applyNumberFormat="1" applyFont="1" applyBorder="1" applyAlignment="1">
      <alignment horizontal="right" vertical="top"/>
    </xf>
    <xf numFmtId="164" fontId="10" fillId="0" borderId="19" xfId="4" applyNumberFormat="1" applyFont="1" applyBorder="1" applyAlignment="1">
      <alignment horizontal="right" vertical="top"/>
    </xf>
    <xf numFmtId="164" fontId="10" fillId="0" borderId="20" xfId="4" applyNumberFormat="1" applyFont="1" applyBorder="1" applyAlignment="1">
      <alignment horizontal="right" vertical="top"/>
    </xf>
    <xf numFmtId="164" fontId="10" fillId="0" borderId="21" xfId="4" applyNumberFormat="1" applyFont="1" applyBorder="1" applyAlignment="1">
      <alignment horizontal="right" vertical="top"/>
    </xf>
    <xf numFmtId="164" fontId="10" fillId="0" borderId="22" xfId="4" applyNumberFormat="1" applyFont="1" applyBorder="1" applyAlignment="1">
      <alignment horizontal="right" vertical="top"/>
    </xf>
    <xf numFmtId="164" fontId="10" fillId="0" borderId="23" xfId="4" applyNumberFormat="1" applyFont="1" applyBorder="1" applyAlignment="1">
      <alignment horizontal="right" vertical="top"/>
    </xf>
    <xf numFmtId="0" fontId="9" fillId="0" borderId="0" xfId="4"/>
    <xf numFmtId="0" fontId="0" fillId="4" borderId="0" xfId="0" applyNumberFormat="1" applyFont="1" applyFill="1"/>
    <xf numFmtId="0" fontId="1" fillId="0" borderId="0" xfId="0" applyFont="1" applyBorder="1"/>
    <xf numFmtId="0" fontId="0" fillId="0" borderId="0" xfId="0" applyFont="1" applyBorder="1"/>
    <xf numFmtId="0" fontId="0" fillId="4" borderId="0" xfId="0" applyFont="1" applyFill="1" applyBorder="1"/>
    <xf numFmtId="0" fontId="0" fillId="2" borderId="0" xfId="0" applyFont="1" applyFill="1" applyBorder="1"/>
    <xf numFmtId="0" fontId="0" fillId="0" borderId="0" xfId="0" applyFont="1"/>
    <xf numFmtId="164" fontId="11" fillId="0" borderId="0" xfId="5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11" fillId="0" borderId="0" xfId="5" applyNumberFormat="1" applyFont="1" applyBorder="1" applyAlignment="1">
      <alignment horizontal="right" vertical="top"/>
    </xf>
    <xf numFmtId="166" fontId="11" fillId="0" borderId="0" xfId="5" applyNumberFormat="1" applyFont="1" applyBorder="1" applyAlignment="1">
      <alignment horizontal="right" vertical="top"/>
    </xf>
    <xf numFmtId="0" fontId="5" fillId="0" borderId="0" xfId="5"/>
    <xf numFmtId="164" fontId="11" fillId="0" borderId="0" xfId="5" applyNumberFormat="1" applyFont="1" applyFill="1" applyBorder="1" applyAlignment="1">
      <alignment horizontal="right" vertical="top"/>
    </xf>
    <xf numFmtId="167" fontId="11" fillId="0" borderId="0" xfId="5" applyNumberFormat="1" applyFont="1" applyBorder="1" applyAlignment="1">
      <alignment horizontal="right" vertical="top"/>
    </xf>
    <xf numFmtId="167" fontId="0" fillId="0" borderId="0" xfId="0" applyNumberFormat="1" applyFont="1" applyBorder="1"/>
    <xf numFmtId="164" fontId="0" fillId="0" borderId="0" xfId="0" applyNumberFormat="1" applyFont="1" applyBorder="1"/>
    <xf numFmtId="167" fontId="0" fillId="2" borderId="0" xfId="0" applyNumberFormat="1" applyFont="1" applyFill="1" applyBorder="1"/>
    <xf numFmtId="0" fontId="0" fillId="0" borderId="0" xfId="0" applyFont="1" applyAlignment="1">
      <alignment horizontal="left"/>
    </xf>
    <xf numFmtId="0" fontId="0" fillId="3" borderId="0" xfId="0" applyFont="1" applyFill="1"/>
    <xf numFmtId="0" fontId="2" fillId="0" borderId="0" xfId="0" applyFont="1"/>
    <xf numFmtId="0" fontId="2" fillId="4" borderId="24" xfId="0" applyFont="1" applyFill="1" applyBorder="1"/>
    <xf numFmtId="0" fontId="2" fillId="4" borderId="1" xfId="0" applyNumberFormat="1" applyFont="1" applyFill="1" applyBorder="1" applyAlignment="1">
      <alignment horizontal="center"/>
    </xf>
    <xf numFmtId="1" fontId="0" fillId="0" borderId="0" xfId="0" applyNumberFormat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0" fillId="0" borderId="0" xfId="4" applyFont="1" applyBorder="1" applyAlignment="1">
      <alignment horizontal="left" vertical="top" wrapText="1"/>
    </xf>
    <xf numFmtId="0" fontId="10" fillId="0" borderId="3" xfId="4" applyFont="1" applyBorder="1" applyAlignment="1">
      <alignment horizontal="left" wrapText="1"/>
    </xf>
    <xf numFmtId="0" fontId="10" fillId="0" borderId="4" xfId="4" applyFont="1" applyBorder="1" applyAlignment="1">
      <alignment horizontal="left" wrapText="1"/>
    </xf>
    <xf numFmtId="0" fontId="10" fillId="0" borderId="8" xfId="4" applyFont="1" applyBorder="1" applyAlignment="1">
      <alignment horizontal="left" wrapText="1"/>
    </xf>
    <xf numFmtId="0" fontId="10" fillId="0" borderId="9" xfId="4" applyFont="1" applyBorder="1" applyAlignment="1">
      <alignment horizontal="left" wrapText="1"/>
    </xf>
    <xf numFmtId="0" fontId="10" fillId="0" borderId="7" xfId="4" applyFont="1" applyBorder="1" applyAlignment="1">
      <alignment horizontal="center" wrapText="1"/>
    </xf>
    <xf numFmtId="0" fontId="10" fillId="0" borderId="12" xfId="4" applyFont="1" applyBorder="1" applyAlignment="1">
      <alignment horizontal="center" wrapText="1"/>
    </xf>
    <xf numFmtId="0" fontId="10" fillId="0" borderId="3" xfId="4" applyFont="1" applyBorder="1" applyAlignment="1">
      <alignment horizontal="left" vertical="top" wrapText="1"/>
    </xf>
    <xf numFmtId="0" fontId="10" fillId="0" borderId="16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wrapText="1"/>
    </xf>
    <xf numFmtId="0" fontId="10" fillId="0" borderId="6" xfId="4" applyFont="1" applyBorder="1" applyAlignment="1">
      <alignment horizontal="center" wrapText="1"/>
    </xf>
    <xf numFmtId="0" fontId="7" fillId="0" borderId="3" xfId="3" applyFont="1" applyBorder="1" applyAlignment="1">
      <alignment horizontal="left" vertical="top" wrapText="1"/>
    </xf>
    <xf numFmtId="0" fontId="7" fillId="0" borderId="16" xfId="3" applyFont="1" applyBorder="1" applyAlignment="1">
      <alignment horizontal="left" vertical="top" wrapText="1"/>
    </xf>
    <xf numFmtId="0" fontId="7" fillId="0" borderId="8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left" vertical="top" wrapText="1"/>
    </xf>
    <xf numFmtId="0" fontId="10" fillId="0" borderId="8" xfId="4" applyFont="1" applyBorder="1" applyAlignment="1">
      <alignment horizontal="left" vertical="top" wrapText="1"/>
    </xf>
    <xf numFmtId="0" fontId="10" fillId="0" borderId="9" xfId="4" applyFont="1" applyBorder="1" applyAlignment="1">
      <alignment horizontal="left" vertical="top" wrapText="1"/>
    </xf>
    <xf numFmtId="0" fontId="6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left" wrapText="1"/>
    </xf>
    <xf numFmtId="0" fontId="7" fillId="0" borderId="4" xfId="3" applyFont="1" applyBorder="1" applyAlignment="1">
      <alignment horizontal="left" wrapText="1"/>
    </xf>
    <xf numFmtId="0" fontId="7" fillId="0" borderId="8" xfId="3" applyFont="1" applyBorder="1" applyAlignment="1">
      <alignment horizontal="left" wrapText="1"/>
    </xf>
    <xf numFmtId="0" fontId="7" fillId="0" borderId="9" xfId="3" applyFont="1" applyBorder="1" applyAlignment="1">
      <alignment horizontal="left" wrapText="1"/>
    </xf>
    <xf numFmtId="0" fontId="8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 wrapText="1"/>
    </xf>
    <xf numFmtId="0" fontId="7" fillId="0" borderId="7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0" fillId="0" borderId="2" xfId="0" applyNumberFormat="1" applyFill="1" applyBorder="1" applyAlignment="1"/>
    <xf numFmtId="0" fontId="3" fillId="3" borderId="0" xfId="2" applyFill="1"/>
    <xf numFmtId="0" fontId="3" fillId="2" borderId="0" xfId="2" applyFill="1"/>
  </cellXfs>
  <cellStyles count="6">
    <cellStyle name="20% - Accent5" xfId="2" builtinId="46"/>
    <cellStyle name="Normal" xfId="0" builtinId="0"/>
    <cellStyle name="Normal_Sheet1" xfId="5"/>
    <cellStyle name="Normal_Sheet2" xfId="3"/>
    <cellStyle name="Normal_Sheet2_1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0"/>
  <sheetViews>
    <sheetView tabSelected="1" topLeftCell="M1" zoomScale="60" zoomScaleNormal="60" workbookViewId="0">
      <pane ySplit="5" topLeftCell="A6" activePane="bottomLeft" state="frozen"/>
      <selection pane="bottomLeft" activeCell="AJ103" sqref="AJ103:AM103"/>
    </sheetView>
  </sheetViews>
  <sheetFormatPr defaultRowHeight="15" x14ac:dyDescent="0.25"/>
  <cols>
    <col min="1" max="1" width="129.5703125" customWidth="1"/>
    <col min="2" max="2" width="12.85546875" customWidth="1"/>
    <col min="3" max="3" width="17.85546875" customWidth="1"/>
    <col min="4" max="4" width="15.42578125" customWidth="1"/>
    <col min="5" max="5" width="18.7109375" style="3" bestFit="1" customWidth="1"/>
    <col min="6" max="6" width="19" style="3" bestFit="1" customWidth="1"/>
    <col min="7" max="7" width="16.85546875" style="3" customWidth="1"/>
    <col min="8" max="11" width="12.140625" bestFit="1" customWidth="1"/>
    <col min="12" max="15" width="9.140625" style="3"/>
    <col min="16" max="19" width="9.28515625" style="75" customWidth="1"/>
    <col min="20" max="23" width="9.140625" style="3"/>
    <col min="28" max="31" width="9.140625" style="3"/>
    <col min="36" max="39" width="9.140625" style="3"/>
  </cols>
  <sheetData>
    <row r="1" spans="1:43" s="4" customFormat="1" x14ac:dyDescent="0.25">
      <c r="A1" s="89" t="s">
        <v>121</v>
      </c>
      <c r="B1" s="92"/>
      <c r="C1" s="92"/>
      <c r="D1" s="92"/>
      <c r="E1" s="92"/>
      <c r="F1" s="92"/>
      <c r="G1" s="93"/>
      <c r="H1" s="90"/>
      <c r="I1" s="90"/>
      <c r="J1" s="90"/>
      <c r="K1" s="90"/>
      <c r="L1" s="90"/>
      <c r="M1" s="90"/>
      <c r="N1" s="90"/>
      <c r="O1" s="90"/>
      <c r="P1" s="73"/>
      <c r="Q1" s="73"/>
      <c r="R1" s="73"/>
      <c r="S1" s="73"/>
      <c r="T1" s="90"/>
      <c r="U1" s="90"/>
      <c r="V1" s="90"/>
      <c r="W1" s="122"/>
    </row>
    <row r="2" spans="1:43" x14ac:dyDescent="0.25">
      <c r="A2" s="88"/>
      <c r="B2" t="s">
        <v>6</v>
      </c>
      <c r="E2" s="3" t="s">
        <v>20</v>
      </c>
      <c r="H2" s="4" t="s">
        <v>15</v>
      </c>
      <c r="I2" s="4"/>
      <c r="J2" s="4"/>
      <c r="K2" s="4"/>
      <c r="L2" s="3" t="s">
        <v>16</v>
      </c>
      <c r="P2" s="72" t="s">
        <v>112</v>
      </c>
      <c r="Q2" s="72"/>
      <c r="R2" s="72"/>
      <c r="S2" s="72"/>
      <c r="T2" s="3" t="s">
        <v>25</v>
      </c>
      <c r="X2" t="s">
        <v>53</v>
      </c>
      <c r="AB2" s="123" t="s">
        <v>54</v>
      </c>
      <c r="AC2" s="123"/>
      <c r="AD2" s="123"/>
      <c r="AE2" s="123"/>
      <c r="AF2" t="s">
        <v>55</v>
      </c>
      <c r="AJ2" s="123"/>
      <c r="AK2" s="123" t="s">
        <v>56</v>
      </c>
      <c r="AL2" s="123"/>
      <c r="AM2" s="123"/>
      <c r="AN2" t="s">
        <v>57</v>
      </c>
    </row>
    <row r="3" spans="1:43" x14ac:dyDescent="0.25">
      <c r="B3" t="s">
        <v>26</v>
      </c>
      <c r="C3" t="s">
        <v>125</v>
      </c>
      <c r="D3" t="s">
        <v>27</v>
      </c>
      <c r="E3" s="3" t="s">
        <v>21</v>
      </c>
      <c r="F3" s="3" t="s">
        <v>22</v>
      </c>
      <c r="G3" s="3" t="s">
        <v>23</v>
      </c>
      <c r="H3" s="4" t="s">
        <v>18</v>
      </c>
      <c r="I3" s="4" t="s">
        <v>11</v>
      </c>
      <c r="J3" s="4" t="s">
        <v>12</v>
      </c>
      <c r="K3" s="4" t="s">
        <v>120</v>
      </c>
      <c r="L3" s="3" t="s">
        <v>19</v>
      </c>
      <c r="M3" s="3" t="s">
        <v>11</v>
      </c>
      <c r="N3" s="3" t="s">
        <v>12</v>
      </c>
      <c r="O3" s="3" t="s">
        <v>120</v>
      </c>
      <c r="P3" s="73" t="s">
        <v>19</v>
      </c>
      <c r="Q3" s="73" t="s">
        <v>11</v>
      </c>
      <c r="R3" s="73" t="s">
        <v>12</v>
      </c>
      <c r="S3" s="73" t="s">
        <v>120</v>
      </c>
      <c r="T3" s="3" t="s">
        <v>19</v>
      </c>
      <c r="U3" s="3" t="s">
        <v>11</v>
      </c>
      <c r="V3" s="3" t="s">
        <v>12</v>
      </c>
      <c r="W3" s="3" t="s">
        <v>120</v>
      </c>
      <c r="X3" s="4" t="s">
        <v>19</v>
      </c>
      <c r="Y3" s="4" t="s">
        <v>11</v>
      </c>
      <c r="Z3" s="4" t="s">
        <v>12</v>
      </c>
      <c r="AA3" s="4" t="s">
        <v>120</v>
      </c>
      <c r="AB3" s="3" t="s">
        <v>19</v>
      </c>
      <c r="AC3" s="3" t="s">
        <v>11</v>
      </c>
      <c r="AD3" s="3" t="s">
        <v>12</v>
      </c>
      <c r="AE3" s="3" t="s">
        <v>120</v>
      </c>
      <c r="AF3" s="4" t="s">
        <v>19</v>
      </c>
      <c r="AG3" s="4" t="s">
        <v>11</v>
      </c>
      <c r="AH3" s="4" t="s">
        <v>12</v>
      </c>
      <c r="AI3" s="4" t="s">
        <v>120</v>
      </c>
      <c r="AJ3" s="3" t="s">
        <v>19</v>
      </c>
      <c r="AK3" s="3" t="s">
        <v>11</v>
      </c>
      <c r="AL3" s="3" t="s">
        <v>12</v>
      </c>
      <c r="AM3" s="3" t="s">
        <v>120</v>
      </c>
      <c r="AN3" s="4" t="s">
        <v>19</v>
      </c>
      <c r="AO3" s="4" t="s">
        <v>11</v>
      </c>
      <c r="AP3" s="4" t="s">
        <v>12</v>
      </c>
      <c r="AQ3" s="4" t="s">
        <v>120</v>
      </c>
    </row>
    <row r="4" spans="1:43" x14ac:dyDescent="0.25">
      <c r="B4">
        <v>1</v>
      </c>
      <c r="C4">
        <v>2</v>
      </c>
      <c r="D4">
        <v>3</v>
      </c>
      <c r="E4" s="3">
        <v>1</v>
      </c>
      <c r="F4" s="3">
        <v>2</v>
      </c>
      <c r="G4" s="3">
        <v>3</v>
      </c>
      <c r="H4" s="4">
        <v>1</v>
      </c>
      <c r="I4" s="4">
        <v>2</v>
      </c>
      <c r="J4" s="4">
        <v>3</v>
      </c>
      <c r="K4" s="4">
        <v>4</v>
      </c>
      <c r="L4" s="3">
        <v>1</v>
      </c>
      <c r="M4" s="3">
        <v>2</v>
      </c>
      <c r="N4" s="3">
        <v>3</v>
      </c>
      <c r="O4" s="3">
        <v>4</v>
      </c>
      <c r="P4" s="72">
        <v>1</v>
      </c>
      <c r="Q4" s="72">
        <v>2</v>
      </c>
      <c r="R4" s="72">
        <v>3</v>
      </c>
      <c r="S4" s="72">
        <v>4</v>
      </c>
      <c r="T4" s="3">
        <v>1</v>
      </c>
      <c r="U4" s="3">
        <v>2</v>
      </c>
      <c r="V4" s="3">
        <v>3</v>
      </c>
      <c r="W4" s="3">
        <v>4</v>
      </c>
      <c r="X4">
        <v>1</v>
      </c>
      <c r="Y4">
        <v>2</v>
      </c>
      <c r="Z4">
        <v>3</v>
      </c>
      <c r="AA4">
        <v>4</v>
      </c>
      <c r="AB4" s="123">
        <v>1</v>
      </c>
      <c r="AC4" s="123">
        <v>2</v>
      </c>
      <c r="AD4" s="123">
        <v>3</v>
      </c>
      <c r="AE4" s="123">
        <v>4</v>
      </c>
      <c r="AF4">
        <v>1</v>
      </c>
      <c r="AG4">
        <v>2</v>
      </c>
      <c r="AH4">
        <v>3</v>
      </c>
      <c r="AI4">
        <v>4</v>
      </c>
      <c r="AJ4" s="123">
        <v>1</v>
      </c>
      <c r="AK4" s="123">
        <v>2</v>
      </c>
      <c r="AL4" s="123">
        <v>3</v>
      </c>
      <c r="AM4" s="123">
        <v>4</v>
      </c>
      <c r="AN4">
        <v>1</v>
      </c>
      <c r="AO4">
        <v>2</v>
      </c>
      <c r="AP4">
        <v>3</v>
      </c>
      <c r="AQ4">
        <v>4</v>
      </c>
    </row>
    <row r="5" spans="1:43" x14ac:dyDescent="0.25">
      <c r="A5" t="s">
        <v>17</v>
      </c>
      <c r="B5" s="4">
        <v>1507</v>
      </c>
      <c r="C5" s="4">
        <v>46</v>
      </c>
      <c r="D5" s="4">
        <v>3416</v>
      </c>
      <c r="E5" s="3">
        <v>1245</v>
      </c>
      <c r="F5" s="3">
        <v>2486</v>
      </c>
      <c r="G5" s="3">
        <v>1247</v>
      </c>
      <c r="H5" s="4">
        <v>116</v>
      </c>
      <c r="I5" s="4">
        <v>599</v>
      </c>
      <c r="J5" s="4">
        <v>1120</v>
      </c>
      <c r="K5" s="4">
        <v>1053</v>
      </c>
      <c r="L5" s="3">
        <v>1587</v>
      </c>
      <c r="M5" s="3">
        <v>1125</v>
      </c>
      <c r="N5" s="3">
        <v>2218</v>
      </c>
      <c r="O5" s="3">
        <v>3825</v>
      </c>
      <c r="P5" s="72">
        <v>462</v>
      </c>
      <c r="Q5" s="72">
        <v>717</v>
      </c>
      <c r="R5" s="72">
        <v>768</v>
      </c>
      <c r="S5" s="72">
        <v>769</v>
      </c>
      <c r="T5" s="3">
        <v>1367</v>
      </c>
      <c r="U5" s="3">
        <v>1891</v>
      </c>
      <c r="V5" s="3">
        <v>1097</v>
      </c>
      <c r="W5" s="3">
        <v>599</v>
      </c>
      <c r="X5">
        <v>912</v>
      </c>
      <c r="Y5">
        <v>508</v>
      </c>
      <c r="Z5">
        <v>681</v>
      </c>
      <c r="AA5">
        <v>892</v>
      </c>
      <c r="AB5" s="123">
        <v>1210</v>
      </c>
      <c r="AC5" s="123">
        <v>626</v>
      </c>
      <c r="AD5" s="123">
        <v>527</v>
      </c>
      <c r="AE5" s="123">
        <v>605</v>
      </c>
      <c r="AF5">
        <v>801</v>
      </c>
      <c r="AG5">
        <v>379</v>
      </c>
      <c r="AH5">
        <v>655</v>
      </c>
      <c r="AI5">
        <v>1013</v>
      </c>
      <c r="AJ5" s="123">
        <v>643</v>
      </c>
      <c r="AK5" s="123">
        <v>1042</v>
      </c>
      <c r="AL5" s="123">
        <v>857</v>
      </c>
      <c r="AM5" s="123">
        <v>226</v>
      </c>
      <c r="AN5">
        <v>657</v>
      </c>
      <c r="AO5">
        <v>1183</v>
      </c>
      <c r="AP5">
        <v>809</v>
      </c>
      <c r="AQ5">
        <v>361</v>
      </c>
    </row>
    <row r="6" spans="1:43" s="2" customFormat="1" x14ac:dyDescent="0.25">
      <c r="A6" s="2" t="s">
        <v>0</v>
      </c>
      <c r="P6" s="74"/>
      <c r="Q6" s="74"/>
      <c r="R6" s="74"/>
      <c r="S6" s="74"/>
      <c r="AB6" s="124"/>
      <c r="AC6" s="124"/>
      <c r="AD6" s="124"/>
      <c r="AE6" s="124"/>
      <c r="AJ6" s="124"/>
      <c r="AK6" s="124"/>
      <c r="AL6" s="124"/>
      <c r="AM6" s="124"/>
    </row>
    <row r="7" spans="1:43" x14ac:dyDescent="0.25">
      <c r="A7" s="1" t="s">
        <v>7</v>
      </c>
      <c r="B7">
        <v>2546.5</v>
      </c>
      <c r="C7">
        <v>2369</v>
      </c>
      <c r="D7">
        <v>2482</v>
      </c>
      <c r="E7" s="3">
        <v>2492</v>
      </c>
      <c r="F7" s="3">
        <v>2493.5</v>
      </c>
      <c r="G7" s="3">
        <v>2505</v>
      </c>
      <c r="H7" s="4">
        <v>2296</v>
      </c>
      <c r="I7" s="4">
        <v>2268</v>
      </c>
      <c r="J7" s="4">
        <v>2275</v>
      </c>
      <c r="K7" s="4">
        <v>2314</v>
      </c>
      <c r="L7" s="3">
        <v>2322</v>
      </c>
      <c r="M7" s="3">
        <v>2329</v>
      </c>
      <c r="N7" s="3">
        <v>2349</v>
      </c>
      <c r="O7" s="3">
        <v>2382</v>
      </c>
      <c r="P7" s="72">
        <v>2070</v>
      </c>
      <c r="Q7" s="72">
        <v>2189</v>
      </c>
      <c r="R7" s="72">
        <v>2223.5</v>
      </c>
      <c r="S7" s="72">
        <v>2334</v>
      </c>
      <c r="T7" s="3">
        <v>1829</v>
      </c>
      <c r="U7" s="3">
        <v>1806</v>
      </c>
      <c r="V7" s="3">
        <v>1823</v>
      </c>
      <c r="W7" s="3">
        <v>1847</v>
      </c>
      <c r="X7">
        <v>2158.5</v>
      </c>
      <c r="Y7">
        <v>2178</v>
      </c>
      <c r="Z7">
        <v>2161</v>
      </c>
      <c r="AA7">
        <v>2114</v>
      </c>
      <c r="AB7" s="123">
        <v>2543</v>
      </c>
      <c r="AC7" s="123">
        <v>2571</v>
      </c>
      <c r="AD7" s="123">
        <v>2609</v>
      </c>
      <c r="AE7" s="123">
        <v>2661</v>
      </c>
      <c r="AF7">
        <v>2225</v>
      </c>
      <c r="AG7">
        <v>2295</v>
      </c>
      <c r="AH7">
        <v>2343</v>
      </c>
      <c r="AI7">
        <v>2387</v>
      </c>
      <c r="AJ7" s="123">
        <v>2290</v>
      </c>
      <c r="AK7" s="123">
        <v>2286</v>
      </c>
      <c r="AL7" s="123">
        <v>2332</v>
      </c>
      <c r="AM7" s="123">
        <v>2363.5</v>
      </c>
      <c r="AN7">
        <v>2062</v>
      </c>
      <c r="AO7">
        <v>2119</v>
      </c>
      <c r="AP7">
        <v>2254</v>
      </c>
      <c r="AQ7">
        <v>2246</v>
      </c>
    </row>
    <row r="8" spans="1:43" x14ac:dyDescent="0.25">
      <c r="A8" s="1" t="s">
        <v>8</v>
      </c>
      <c r="B8">
        <v>477</v>
      </c>
      <c r="C8">
        <v>385</v>
      </c>
      <c r="D8">
        <v>400</v>
      </c>
      <c r="E8" s="3">
        <v>508</v>
      </c>
      <c r="F8" s="3">
        <v>402</v>
      </c>
      <c r="G8" s="3">
        <v>402</v>
      </c>
      <c r="H8" s="4">
        <v>336</v>
      </c>
      <c r="I8" s="4">
        <v>219</v>
      </c>
      <c r="J8" s="4">
        <v>201</v>
      </c>
      <c r="K8" s="4">
        <v>211</v>
      </c>
      <c r="L8" s="3">
        <v>236</v>
      </c>
      <c r="M8" s="3">
        <v>217</v>
      </c>
      <c r="N8" s="3">
        <v>204</v>
      </c>
      <c r="O8" s="3">
        <v>218</v>
      </c>
      <c r="P8" s="76">
        <v>385.25</v>
      </c>
      <c r="Q8" s="76">
        <v>313</v>
      </c>
      <c r="R8" s="72">
        <v>363</v>
      </c>
      <c r="S8" s="72">
        <v>377.5</v>
      </c>
      <c r="T8" s="3">
        <v>188</v>
      </c>
      <c r="U8" s="3">
        <v>168</v>
      </c>
      <c r="V8" s="3">
        <v>155</v>
      </c>
      <c r="W8" s="3">
        <v>143</v>
      </c>
      <c r="X8">
        <v>246</v>
      </c>
      <c r="Y8">
        <v>206</v>
      </c>
      <c r="Z8">
        <v>214</v>
      </c>
      <c r="AA8">
        <v>189</v>
      </c>
      <c r="AB8" s="123">
        <v>202</v>
      </c>
      <c r="AC8" s="123">
        <v>228</v>
      </c>
      <c r="AD8" s="123">
        <v>195</v>
      </c>
      <c r="AE8" s="123">
        <v>77</v>
      </c>
      <c r="AF8">
        <v>377</v>
      </c>
      <c r="AG8">
        <v>319</v>
      </c>
      <c r="AH8">
        <v>206</v>
      </c>
      <c r="AI8">
        <v>202</v>
      </c>
      <c r="AJ8" s="123">
        <v>574</v>
      </c>
      <c r="AK8" s="123">
        <v>137</v>
      </c>
      <c r="AL8" s="123">
        <v>151</v>
      </c>
      <c r="AM8" s="123">
        <v>139</v>
      </c>
      <c r="AN8">
        <v>161</v>
      </c>
      <c r="AO8">
        <v>234</v>
      </c>
      <c r="AP8">
        <v>262</v>
      </c>
      <c r="AQ8">
        <v>152</v>
      </c>
    </row>
    <row r="9" spans="1:43" x14ac:dyDescent="0.25">
      <c r="A9" s="1" t="s">
        <v>9</v>
      </c>
      <c r="B9">
        <v>1802</v>
      </c>
      <c r="C9">
        <v>1836</v>
      </c>
      <c r="D9">
        <v>1808</v>
      </c>
      <c r="E9" s="3">
        <v>1802</v>
      </c>
      <c r="F9" s="3">
        <v>1806</v>
      </c>
      <c r="G9" s="3">
        <v>1828</v>
      </c>
      <c r="H9" s="4">
        <v>1937</v>
      </c>
      <c r="I9" s="4">
        <v>1938</v>
      </c>
      <c r="J9" s="4">
        <v>1945</v>
      </c>
      <c r="K9" s="4">
        <v>1942</v>
      </c>
      <c r="L9" s="3">
        <v>1937</v>
      </c>
      <c r="M9" s="3">
        <v>1953</v>
      </c>
      <c r="N9" s="3">
        <v>1967</v>
      </c>
      <c r="O9" s="3">
        <v>2001</v>
      </c>
      <c r="P9" s="72">
        <v>1620</v>
      </c>
      <c r="Q9" s="76">
        <v>1638</v>
      </c>
      <c r="R9" s="76">
        <v>1632</v>
      </c>
      <c r="S9" s="76">
        <v>1759</v>
      </c>
      <c r="T9" s="3">
        <v>1617</v>
      </c>
      <c r="U9" s="3">
        <v>1610</v>
      </c>
      <c r="V9" s="3">
        <v>1637</v>
      </c>
      <c r="W9" s="3">
        <v>1644</v>
      </c>
      <c r="X9">
        <v>1695</v>
      </c>
      <c r="Y9">
        <v>1698</v>
      </c>
      <c r="Z9">
        <v>1713</v>
      </c>
      <c r="AA9">
        <v>1723</v>
      </c>
      <c r="AB9" s="123">
        <v>2071</v>
      </c>
      <c r="AC9" s="123">
        <v>2075</v>
      </c>
      <c r="AD9" s="123">
        <v>2075</v>
      </c>
      <c r="AE9" s="123">
        <v>2111</v>
      </c>
      <c r="AF9">
        <v>1762</v>
      </c>
      <c r="AG9">
        <v>1794</v>
      </c>
      <c r="AH9">
        <v>1804</v>
      </c>
      <c r="AI9">
        <v>1798</v>
      </c>
      <c r="AJ9" s="123">
        <v>2089</v>
      </c>
      <c r="AK9" s="123">
        <v>2089</v>
      </c>
      <c r="AL9" s="123">
        <v>2091</v>
      </c>
      <c r="AM9" s="123">
        <v>2134</v>
      </c>
      <c r="AN9">
        <v>1858</v>
      </c>
      <c r="AO9">
        <v>1860</v>
      </c>
      <c r="AP9">
        <v>1944</v>
      </c>
      <c r="AQ9">
        <v>201</v>
      </c>
    </row>
    <row r="10" spans="1:43" x14ac:dyDescent="0.25">
      <c r="A10" s="1" t="s">
        <v>10</v>
      </c>
      <c r="B10">
        <v>2999</v>
      </c>
      <c r="C10">
        <v>2961</v>
      </c>
      <c r="D10">
        <v>3000</v>
      </c>
      <c r="E10" s="3">
        <v>2999</v>
      </c>
      <c r="F10" s="3">
        <v>2998</v>
      </c>
      <c r="G10" s="3">
        <v>3000</v>
      </c>
      <c r="H10" s="4">
        <v>2600</v>
      </c>
      <c r="I10" s="4">
        <v>2625</v>
      </c>
      <c r="J10" s="4">
        <v>2626</v>
      </c>
      <c r="K10" s="4">
        <v>2630</v>
      </c>
      <c r="L10" s="3">
        <v>3224</v>
      </c>
      <c r="M10" s="3">
        <v>3120</v>
      </c>
      <c r="N10" s="3">
        <v>3230</v>
      </c>
      <c r="O10" s="3">
        <v>3215</v>
      </c>
      <c r="P10" s="72">
        <v>2992</v>
      </c>
      <c r="Q10" s="72">
        <v>3082</v>
      </c>
      <c r="R10" s="72">
        <v>3093</v>
      </c>
      <c r="S10" s="72">
        <v>3100</v>
      </c>
      <c r="T10" s="3">
        <v>2110</v>
      </c>
      <c r="U10" s="3">
        <v>2114</v>
      </c>
      <c r="V10" s="3">
        <v>2109</v>
      </c>
      <c r="W10" s="3">
        <v>2092</v>
      </c>
      <c r="X10">
        <v>2554</v>
      </c>
      <c r="Y10">
        <v>2546</v>
      </c>
      <c r="Z10">
        <v>2538</v>
      </c>
      <c r="AA10">
        <v>2536</v>
      </c>
      <c r="AB10" s="123">
        <v>2817</v>
      </c>
      <c r="AC10" s="123">
        <v>2812</v>
      </c>
      <c r="AD10" s="123">
        <v>2810</v>
      </c>
      <c r="AE10" s="123">
        <v>28224</v>
      </c>
      <c r="AF10">
        <v>2614</v>
      </c>
      <c r="AG10">
        <v>2610</v>
      </c>
      <c r="AH10">
        <v>2587</v>
      </c>
      <c r="AI10">
        <v>2605</v>
      </c>
      <c r="AJ10" s="123">
        <v>2663</v>
      </c>
      <c r="AK10" s="123">
        <v>2666</v>
      </c>
      <c r="AL10" s="123">
        <v>2620</v>
      </c>
      <c r="AM10" s="123">
        <v>2605</v>
      </c>
      <c r="AN10">
        <v>2474</v>
      </c>
      <c r="AO10">
        <v>2480</v>
      </c>
      <c r="AP10">
        <v>2481</v>
      </c>
      <c r="AQ10">
        <v>2479</v>
      </c>
    </row>
    <row r="11" spans="1:43" x14ac:dyDescent="0.25">
      <c r="A11" s="17"/>
      <c r="B11" s="5"/>
      <c r="E11" s="6"/>
      <c r="H11" s="7"/>
      <c r="I11" s="4"/>
      <c r="J11" s="4"/>
      <c r="K11" s="4"/>
      <c r="L11" s="6"/>
      <c r="M11" s="6"/>
      <c r="P11" s="72"/>
      <c r="Q11" s="72"/>
      <c r="R11" s="72"/>
      <c r="S11" s="72"/>
      <c r="T11" s="6"/>
      <c r="AB11" s="123"/>
      <c r="AC11" s="123"/>
      <c r="AD11" s="123"/>
      <c r="AE11" s="123"/>
      <c r="AJ11" s="123"/>
      <c r="AK11" s="123"/>
      <c r="AL11" s="123"/>
      <c r="AM11" s="123"/>
    </row>
    <row r="12" spans="1:43" x14ac:dyDescent="0.25">
      <c r="A12" s="1"/>
      <c r="H12" s="4"/>
      <c r="I12" s="4"/>
      <c r="J12" s="4"/>
      <c r="K12" s="4"/>
      <c r="P12" s="72"/>
      <c r="Q12" s="72"/>
      <c r="R12" s="72"/>
      <c r="S12" s="72"/>
      <c r="AB12" s="123"/>
      <c r="AC12" s="123"/>
      <c r="AD12" s="123"/>
      <c r="AE12" s="123"/>
      <c r="AJ12" s="123"/>
      <c r="AK12" s="123"/>
      <c r="AL12" s="123"/>
      <c r="AM12" s="123"/>
    </row>
    <row r="13" spans="1:43" s="2" customFormat="1" x14ac:dyDescent="0.25">
      <c r="A13" s="2" t="s">
        <v>1</v>
      </c>
      <c r="P13" s="74"/>
      <c r="Q13" s="74"/>
      <c r="R13" s="74"/>
      <c r="S13" s="74"/>
      <c r="AB13" s="124"/>
      <c r="AC13" s="124"/>
      <c r="AD13" s="124"/>
      <c r="AE13" s="124"/>
      <c r="AJ13" s="124"/>
      <c r="AK13" s="124"/>
      <c r="AL13" s="124"/>
      <c r="AM13" s="124"/>
    </row>
    <row r="14" spans="1:43" x14ac:dyDescent="0.25">
      <c r="A14" s="1" t="s">
        <v>7</v>
      </c>
      <c r="B14">
        <v>14.055</v>
      </c>
      <c r="C14">
        <v>22.0366</v>
      </c>
      <c r="D14">
        <v>14.780799999999999</v>
      </c>
      <c r="E14" s="3">
        <v>14.434100000000001</v>
      </c>
      <c r="F14" s="3">
        <v>14.335800000000001</v>
      </c>
      <c r="G14" s="3">
        <v>15.4834</v>
      </c>
      <c r="H14" s="4">
        <v>9.3070299999999992</v>
      </c>
      <c r="I14" s="4">
        <v>13.007999999999999</v>
      </c>
      <c r="J14" s="4">
        <v>18.962299999999999</v>
      </c>
      <c r="K14" s="4">
        <v>21.430399999999999</v>
      </c>
      <c r="L14" s="3">
        <v>12.0215</v>
      </c>
      <c r="M14" s="3">
        <v>12.9588</v>
      </c>
      <c r="N14" s="3">
        <v>12.517200000000001</v>
      </c>
      <c r="O14" s="3">
        <v>13.278700000000001</v>
      </c>
      <c r="P14" s="77">
        <v>16.2743</v>
      </c>
      <c r="Q14" s="77">
        <v>16.583200000000001</v>
      </c>
      <c r="R14" s="78">
        <v>16.726550000000003</v>
      </c>
      <c r="S14" s="78">
        <v>16.1814</v>
      </c>
      <c r="T14" s="3">
        <v>17.1569</v>
      </c>
      <c r="U14" s="3">
        <v>14.6639</v>
      </c>
      <c r="V14" s="3">
        <v>16.266500000000001</v>
      </c>
      <c r="W14" s="3">
        <v>17.594100000000001</v>
      </c>
      <c r="X14">
        <v>14.6568</v>
      </c>
      <c r="Y14">
        <v>15.1797</v>
      </c>
      <c r="Z14">
        <v>15.004300000000001</v>
      </c>
      <c r="AA14">
        <v>13.6403</v>
      </c>
      <c r="AB14" s="123">
        <v>18.645600000000002</v>
      </c>
      <c r="AC14" s="123">
        <v>17.08155</v>
      </c>
      <c r="AD14" s="123">
        <v>17.721800000000002</v>
      </c>
      <c r="AE14" s="123">
        <v>12.942399999999999</v>
      </c>
      <c r="AF14">
        <v>18.329799999999999</v>
      </c>
      <c r="AG14">
        <v>20.0716</v>
      </c>
      <c r="AH14">
        <v>19.714300000000001</v>
      </c>
      <c r="AI14">
        <v>18.2729</v>
      </c>
      <c r="AJ14" s="123">
        <v>12.6044</v>
      </c>
      <c r="AK14" s="123">
        <v>12.9506</v>
      </c>
      <c r="AL14" s="123">
        <v>12.225099999999999</v>
      </c>
      <c r="AM14" s="123">
        <v>13.919600000000001</v>
      </c>
      <c r="AN14">
        <v>13.362</v>
      </c>
      <c r="AO14">
        <v>13.915800000000001</v>
      </c>
      <c r="AP14">
        <v>12.8142</v>
      </c>
      <c r="AQ14">
        <v>14.5388</v>
      </c>
    </row>
    <row r="15" spans="1:43" x14ac:dyDescent="0.25">
      <c r="A15" s="1" t="s">
        <v>8</v>
      </c>
      <c r="B15">
        <v>12.8854775</v>
      </c>
      <c r="C15">
        <v>13.049200000000001</v>
      </c>
      <c r="D15">
        <v>11.25666</v>
      </c>
      <c r="E15" s="3">
        <v>13.99967</v>
      </c>
      <c r="F15" s="3">
        <v>11.420897500000001</v>
      </c>
      <c r="G15" s="3">
        <v>10.946899999999999</v>
      </c>
      <c r="H15" s="4">
        <v>7.5196100000000001</v>
      </c>
      <c r="I15" s="4">
        <v>12.145049999999999</v>
      </c>
      <c r="J15" s="4">
        <v>11.891925000000001</v>
      </c>
      <c r="K15" s="4">
        <v>9.9227000000000007</v>
      </c>
      <c r="L15" s="3">
        <v>11.81734</v>
      </c>
      <c r="M15" s="3">
        <v>11.202335</v>
      </c>
      <c r="N15" s="3">
        <v>9.4618450000000003</v>
      </c>
      <c r="O15" s="3">
        <v>10.39767</v>
      </c>
      <c r="P15" s="77">
        <v>14.527632000000001</v>
      </c>
      <c r="Q15" s="78">
        <v>12.78435</v>
      </c>
      <c r="R15" s="78">
        <v>11.646299999999998</v>
      </c>
      <c r="S15" s="78">
        <v>9.6343500000000013</v>
      </c>
      <c r="T15" s="3">
        <v>10.274100000000001</v>
      </c>
      <c r="U15" s="3">
        <v>10.854369999999999</v>
      </c>
      <c r="V15" s="3">
        <v>10.3522</v>
      </c>
      <c r="W15" s="3">
        <v>10.4154</v>
      </c>
      <c r="X15">
        <v>9.8645250000000004</v>
      </c>
      <c r="Y15">
        <v>10.28205</v>
      </c>
      <c r="Z15">
        <v>8.6992999999999991</v>
      </c>
      <c r="AA15">
        <v>7.4074</v>
      </c>
      <c r="AB15" s="123">
        <v>13.871449999999999</v>
      </c>
      <c r="AC15" s="123">
        <v>12.0176</v>
      </c>
      <c r="AD15" s="123">
        <v>12.5352</v>
      </c>
      <c r="AE15" s="123">
        <v>9.4362849999999998</v>
      </c>
      <c r="AF15">
        <v>13.167</v>
      </c>
      <c r="AG15">
        <v>10.812900000000001</v>
      </c>
      <c r="AH15">
        <v>10.838900000000001</v>
      </c>
      <c r="AI15">
        <v>10.13415</v>
      </c>
      <c r="AJ15" s="123">
        <v>10.09257</v>
      </c>
      <c r="AK15" s="123">
        <v>11.769534999999999</v>
      </c>
      <c r="AL15" s="123">
        <v>9.6033299999999997</v>
      </c>
      <c r="AM15" s="123">
        <v>10.501804999999999</v>
      </c>
      <c r="AN15">
        <v>10.799770000000001</v>
      </c>
      <c r="AO15">
        <v>8.7285299999999992</v>
      </c>
      <c r="AP15">
        <v>6.7724200000000003</v>
      </c>
      <c r="AQ15">
        <v>6.7465999999999999</v>
      </c>
    </row>
    <row r="16" spans="1:43" x14ac:dyDescent="0.25">
      <c r="A16" s="1" t="s">
        <v>9</v>
      </c>
      <c r="B16" t="s">
        <v>13</v>
      </c>
      <c r="C16">
        <v>3.18181</v>
      </c>
      <c r="D16" t="s">
        <v>13</v>
      </c>
      <c r="E16" s="3" t="s">
        <v>13</v>
      </c>
      <c r="F16" s="3">
        <v>0.337615</v>
      </c>
      <c r="G16" s="3" t="s">
        <v>13</v>
      </c>
      <c r="H16" s="4">
        <v>1.21712</v>
      </c>
      <c r="I16" s="12" t="s">
        <v>13</v>
      </c>
      <c r="J16" s="4">
        <v>0.75489399999999995</v>
      </c>
      <c r="K16" s="4">
        <v>0.67520599999999997</v>
      </c>
      <c r="L16" s="3" t="s">
        <v>13</v>
      </c>
      <c r="M16" s="3">
        <v>0.337615</v>
      </c>
      <c r="N16" s="3" t="s">
        <v>13</v>
      </c>
      <c r="O16" s="3" t="s">
        <v>13</v>
      </c>
      <c r="P16" s="77">
        <v>0.337615</v>
      </c>
      <c r="Q16" s="78">
        <v>0.67520599999999997</v>
      </c>
      <c r="R16" s="78">
        <v>0.337615</v>
      </c>
      <c r="S16" s="78">
        <v>1.6876</v>
      </c>
      <c r="T16" s="3" t="s">
        <v>13</v>
      </c>
      <c r="U16" s="3" t="s">
        <v>13</v>
      </c>
      <c r="V16" s="3" t="s">
        <v>13</v>
      </c>
      <c r="W16" s="3">
        <v>1.3917600000000001</v>
      </c>
      <c r="X16">
        <v>0.67520599999999997</v>
      </c>
      <c r="Y16">
        <v>1.50953</v>
      </c>
      <c r="Z16">
        <v>0.95484100000000005</v>
      </c>
      <c r="AA16">
        <v>0.67520599999999997</v>
      </c>
      <c r="AB16" s="123">
        <v>1.06752</v>
      </c>
      <c r="AC16" s="123">
        <v>0.337615</v>
      </c>
      <c r="AD16" s="123">
        <v>1.21712</v>
      </c>
      <c r="AE16" s="123">
        <v>0.67520599999999997</v>
      </c>
      <c r="AF16">
        <v>0.75489399999999995</v>
      </c>
      <c r="AG16">
        <v>0.33765849999999997</v>
      </c>
      <c r="AH16">
        <v>0.47745399999999999</v>
      </c>
      <c r="AI16">
        <v>1.06752</v>
      </c>
      <c r="AJ16" s="123" t="s">
        <v>13</v>
      </c>
      <c r="AK16" s="123">
        <v>0.337615</v>
      </c>
      <c r="AL16" s="123" t="s">
        <v>13</v>
      </c>
      <c r="AM16" s="123">
        <v>1.50953</v>
      </c>
      <c r="AN16">
        <v>1.3917600000000001</v>
      </c>
      <c r="AO16">
        <v>0.67520599999999997</v>
      </c>
      <c r="AP16">
        <v>0.337615</v>
      </c>
      <c r="AQ16">
        <v>2.0248699999999999</v>
      </c>
    </row>
    <row r="17" spans="1:43" x14ac:dyDescent="0.25">
      <c r="A17" s="1" t="s">
        <v>10</v>
      </c>
      <c r="B17">
        <v>43.117100000000001</v>
      </c>
      <c r="C17">
        <v>37.879600000000003</v>
      </c>
      <c r="D17">
        <v>45.784199999999998</v>
      </c>
      <c r="E17" s="3">
        <v>38.5884</v>
      </c>
      <c r="F17" s="3">
        <v>43.117100000000001</v>
      </c>
      <c r="G17" s="3">
        <v>45.784199999999998</v>
      </c>
      <c r="H17" s="4">
        <v>30.7774</v>
      </c>
      <c r="I17" s="4">
        <v>37.335799999999999</v>
      </c>
      <c r="J17" s="4">
        <v>36.544899999999998</v>
      </c>
      <c r="K17" s="4">
        <v>36.623600000000003</v>
      </c>
      <c r="L17" s="3">
        <v>59.96</v>
      </c>
      <c r="M17" s="3">
        <v>48.383200000000002</v>
      </c>
      <c r="N17" s="3">
        <v>51.972999999999999</v>
      </c>
      <c r="O17" s="3">
        <v>53.366399999999999</v>
      </c>
      <c r="P17" s="77">
        <v>42.119100000000003</v>
      </c>
      <c r="Q17" s="78">
        <v>46.622900000000001</v>
      </c>
      <c r="R17" s="78">
        <v>39.784399999999998</v>
      </c>
      <c r="S17" s="78">
        <v>38.3675</v>
      </c>
      <c r="T17" s="3">
        <v>42.994300000000003</v>
      </c>
      <c r="U17" s="3">
        <v>40.978499999999997</v>
      </c>
      <c r="V17" s="3">
        <v>40.938000000000002</v>
      </c>
      <c r="W17" s="3">
        <v>42.225900000000003</v>
      </c>
      <c r="X17">
        <v>42.365900000000003</v>
      </c>
      <c r="Y17">
        <v>40.599800000000002</v>
      </c>
      <c r="Z17">
        <v>36.634799999999998</v>
      </c>
      <c r="AA17">
        <v>37.75094</v>
      </c>
      <c r="AB17" s="123">
        <v>42.282299999999999</v>
      </c>
      <c r="AC17" s="123">
        <v>40.762900000000002</v>
      </c>
      <c r="AD17" s="123">
        <v>36.762999999999998</v>
      </c>
      <c r="AE17" s="123">
        <v>38.1708</v>
      </c>
      <c r="AF17">
        <v>42.148200000000003</v>
      </c>
      <c r="AG17">
        <v>41.094200000000001</v>
      </c>
      <c r="AH17">
        <v>42.194000000000003</v>
      </c>
      <c r="AI17">
        <v>40.711799999999997</v>
      </c>
      <c r="AJ17" s="123">
        <v>35.506399999999999</v>
      </c>
      <c r="AK17" s="123">
        <v>35.547899999999998</v>
      </c>
      <c r="AL17" s="123">
        <v>39.064700000000002</v>
      </c>
      <c r="AM17" s="123">
        <v>30.246300000000002</v>
      </c>
      <c r="AN17">
        <v>36.634799999999998</v>
      </c>
      <c r="AO17">
        <v>36.563099999999999</v>
      </c>
      <c r="AP17">
        <v>32.241700000000002</v>
      </c>
      <c r="AQ17">
        <v>25.3169</v>
      </c>
    </row>
    <row r="18" spans="1:43" x14ac:dyDescent="0.25">
      <c r="A18" s="17"/>
      <c r="B18" s="7"/>
      <c r="E18" s="6"/>
      <c r="H18" s="7"/>
      <c r="I18" s="4"/>
      <c r="J18" s="4"/>
      <c r="K18" s="4"/>
      <c r="L18" s="6"/>
      <c r="M18" s="6"/>
      <c r="P18" s="72"/>
      <c r="Q18" s="72"/>
      <c r="R18" s="72"/>
      <c r="S18" s="72"/>
      <c r="T18" s="6"/>
      <c r="AB18" s="123"/>
      <c r="AC18" s="123"/>
      <c r="AD18" s="123"/>
      <c r="AE18" s="123"/>
      <c r="AJ18" s="123"/>
      <c r="AK18" s="123"/>
      <c r="AL18" s="123"/>
      <c r="AM18" s="123"/>
    </row>
    <row r="19" spans="1:43" x14ac:dyDescent="0.25">
      <c r="A19" s="1"/>
      <c r="H19" s="4"/>
      <c r="I19" s="4"/>
      <c r="J19" s="4"/>
      <c r="K19" s="4"/>
      <c r="P19" s="72"/>
      <c r="Q19" s="72"/>
      <c r="R19" s="72"/>
      <c r="S19" s="72"/>
      <c r="AB19" s="123"/>
      <c r="AC19" s="123"/>
      <c r="AD19" s="123"/>
      <c r="AE19" s="123"/>
      <c r="AJ19" s="123"/>
      <c r="AK19" s="123"/>
      <c r="AL19" s="123"/>
      <c r="AM19" s="123"/>
    </row>
    <row r="20" spans="1:43" s="2" customFormat="1" x14ac:dyDescent="0.25">
      <c r="A20" s="2" t="s">
        <v>2</v>
      </c>
      <c r="P20" s="74"/>
      <c r="Q20" s="74"/>
      <c r="R20" s="74"/>
      <c r="S20" s="74"/>
      <c r="AB20" s="124"/>
      <c r="AC20" s="124"/>
      <c r="AD20" s="124"/>
      <c r="AE20" s="124"/>
      <c r="AJ20" s="124"/>
      <c r="AK20" s="124"/>
      <c r="AL20" s="124"/>
      <c r="AM20" s="124"/>
    </row>
    <row r="21" spans="1:43" x14ac:dyDescent="0.25">
      <c r="A21" s="1" t="s">
        <v>7</v>
      </c>
      <c r="B21">
        <v>360</v>
      </c>
      <c r="C21">
        <v>184.86850000000001</v>
      </c>
      <c r="D21">
        <v>442.94499999999999</v>
      </c>
      <c r="E21" s="3">
        <v>318.904</v>
      </c>
      <c r="F21" s="3">
        <v>426.38</v>
      </c>
      <c r="G21" s="3">
        <v>468.61500000000001</v>
      </c>
      <c r="H21" s="4">
        <v>617.00750000000005</v>
      </c>
      <c r="I21" s="4">
        <v>589.40599999999995</v>
      </c>
      <c r="J21" s="4">
        <v>543.32299999999998</v>
      </c>
      <c r="K21" s="4">
        <v>480</v>
      </c>
      <c r="L21" s="3">
        <v>390</v>
      </c>
      <c r="M21" s="3">
        <v>466.69</v>
      </c>
      <c r="N21" s="3">
        <v>510.88200000000001</v>
      </c>
      <c r="O21" s="3">
        <v>492.03699999999998</v>
      </c>
      <c r="P21" s="82">
        <v>218.40299999999999</v>
      </c>
      <c r="Q21" s="82">
        <v>270</v>
      </c>
      <c r="R21" s="82">
        <v>349.85700000000003</v>
      </c>
      <c r="S21" s="82">
        <v>402.49200000000002</v>
      </c>
      <c r="T21" s="3">
        <v>210</v>
      </c>
      <c r="U21" s="3">
        <v>210</v>
      </c>
      <c r="V21" s="3">
        <v>212.13200000000001</v>
      </c>
      <c r="W21" s="3">
        <v>218.40299999999999</v>
      </c>
      <c r="X21">
        <v>375.899</v>
      </c>
      <c r="Y21">
        <v>335.41</v>
      </c>
      <c r="Z21">
        <v>362.49099999999999</v>
      </c>
      <c r="AA21">
        <v>432.666</v>
      </c>
      <c r="AB21" s="123">
        <v>690.65200000000004</v>
      </c>
      <c r="AC21" s="123">
        <v>750</v>
      </c>
      <c r="AD21" s="123">
        <v>956.71299999999997</v>
      </c>
      <c r="AE21" s="123">
        <v>1198.8699999999999</v>
      </c>
      <c r="AF21">
        <v>618.46600000000001</v>
      </c>
      <c r="AG21">
        <v>684.10500000000002</v>
      </c>
      <c r="AH21">
        <v>660.68100000000004</v>
      </c>
      <c r="AI21">
        <v>656.22</v>
      </c>
      <c r="AJ21" s="123">
        <v>480.93700000000001</v>
      </c>
      <c r="AK21" s="123">
        <v>437.80549999999999</v>
      </c>
      <c r="AL21" s="123">
        <v>488.36500000000001</v>
      </c>
      <c r="AM21" s="123">
        <v>634.27</v>
      </c>
      <c r="AN21">
        <v>268.32799999999997</v>
      </c>
      <c r="AO21">
        <v>256.32</v>
      </c>
      <c r="AP21">
        <v>366.197</v>
      </c>
      <c r="AQ21">
        <v>480.93700000000001</v>
      </c>
    </row>
    <row r="22" spans="1:43" x14ac:dyDescent="0.25">
      <c r="A22" s="1" t="s">
        <v>8</v>
      </c>
      <c r="B22">
        <v>417.18025</v>
      </c>
      <c r="C22">
        <v>177.59717499999999</v>
      </c>
      <c r="D22">
        <v>491.52699999999999</v>
      </c>
      <c r="E22" s="3">
        <v>365.07100000000003</v>
      </c>
      <c r="F22" s="3">
        <v>503.09199999999998</v>
      </c>
      <c r="G22" s="3">
        <v>475.37400000000002</v>
      </c>
      <c r="H22" s="4">
        <v>613.60799999999995</v>
      </c>
      <c r="I22" s="4">
        <v>540</v>
      </c>
      <c r="J22" s="4">
        <v>480.26749999999998</v>
      </c>
      <c r="K22" s="4">
        <v>359.25200000000001</v>
      </c>
      <c r="L22" s="3">
        <v>597.029</v>
      </c>
      <c r="M22" s="3">
        <v>553.15700000000004</v>
      </c>
      <c r="N22" s="3">
        <v>545.67875000000004</v>
      </c>
      <c r="O22" s="3">
        <v>546.31949999999995</v>
      </c>
      <c r="P22" s="82">
        <v>300.28800000000001</v>
      </c>
      <c r="Q22" s="82">
        <v>374.25049999999999</v>
      </c>
      <c r="R22" s="82">
        <v>389.21000000000004</v>
      </c>
      <c r="S22" s="82">
        <v>353.77750000000003</v>
      </c>
      <c r="T22" s="3">
        <v>236.49270000000001</v>
      </c>
      <c r="U22" s="3">
        <v>254.98869999999999</v>
      </c>
      <c r="V22" s="3">
        <v>247.18469999999999</v>
      </c>
      <c r="W22" s="3">
        <v>241.24799999999999</v>
      </c>
      <c r="X22">
        <v>452.33699999999999</v>
      </c>
      <c r="Y22">
        <v>382.42144999999999</v>
      </c>
      <c r="Z22">
        <v>373.54250000000002</v>
      </c>
      <c r="AA22">
        <v>432.39100000000002</v>
      </c>
      <c r="AB22" s="123">
        <v>725.81200000000001</v>
      </c>
      <c r="AC22" s="123">
        <v>792.89750000000004</v>
      </c>
      <c r="AD22" s="123">
        <v>842.52099999999996</v>
      </c>
      <c r="AE22" s="123">
        <v>739.48599999999999</v>
      </c>
      <c r="AF22">
        <v>677.73149999999998</v>
      </c>
      <c r="AG22">
        <v>501.85700000000003</v>
      </c>
      <c r="AH22">
        <v>471.81700000000001</v>
      </c>
      <c r="AI22">
        <v>449</v>
      </c>
      <c r="AJ22" s="123">
        <v>662.51099999999997</v>
      </c>
      <c r="AK22" s="123">
        <v>566.471</v>
      </c>
      <c r="AL22" s="123">
        <v>483.83449999999999</v>
      </c>
      <c r="AM22" s="123">
        <v>664.83974999999998</v>
      </c>
      <c r="AN22">
        <v>311.83300000000003</v>
      </c>
      <c r="AO22">
        <v>300</v>
      </c>
      <c r="AP22">
        <v>355.649</v>
      </c>
      <c r="AQ22">
        <v>614.63350000000003</v>
      </c>
    </row>
    <row r="23" spans="1:43" x14ac:dyDescent="0.25">
      <c r="A23" s="1" t="s">
        <v>9</v>
      </c>
      <c r="B23" t="s">
        <v>13</v>
      </c>
      <c r="C23">
        <v>30</v>
      </c>
      <c r="D23" t="s">
        <v>13</v>
      </c>
      <c r="E23" s="3" t="s">
        <v>13</v>
      </c>
      <c r="F23" s="3" t="s">
        <v>13</v>
      </c>
      <c r="G23" s="3" t="s">
        <v>13</v>
      </c>
      <c r="H23" s="4" t="s">
        <v>13</v>
      </c>
      <c r="I23" s="4" t="s">
        <v>13</v>
      </c>
      <c r="J23" s="4">
        <v>30</v>
      </c>
      <c r="K23" s="4" t="s">
        <v>13</v>
      </c>
      <c r="L23" s="3" t="s">
        <v>13</v>
      </c>
      <c r="M23" s="3" t="s">
        <v>13</v>
      </c>
      <c r="N23" s="3" t="s">
        <v>13</v>
      </c>
      <c r="O23" s="3" t="s">
        <v>13</v>
      </c>
      <c r="P23" s="82">
        <v>0</v>
      </c>
      <c r="Q23" s="82">
        <v>0</v>
      </c>
      <c r="R23" s="82">
        <v>0</v>
      </c>
      <c r="S23" s="82">
        <v>0</v>
      </c>
      <c r="T23" s="3" t="s">
        <v>13</v>
      </c>
      <c r="U23" s="3" t="s">
        <v>13</v>
      </c>
      <c r="V23" s="3" t="s">
        <v>13</v>
      </c>
      <c r="W23" s="3" t="s">
        <v>13</v>
      </c>
      <c r="X23" t="s">
        <v>13</v>
      </c>
      <c r="Y23" t="s">
        <v>13</v>
      </c>
      <c r="Z23" t="s">
        <v>13</v>
      </c>
      <c r="AA23" t="s">
        <v>13</v>
      </c>
      <c r="AB23" s="123" t="s">
        <v>13</v>
      </c>
      <c r="AC23" s="123" t="s">
        <v>13</v>
      </c>
      <c r="AD23" s="123">
        <v>30</v>
      </c>
      <c r="AE23" s="123">
        <v>30</v>
      </c>
      <c r="AF23" t="s">
        <v>13</v>
      </c>
      <c r="AG23" t="s">
        <v>13</v>
      </c>
      <c r="AH23" t="s">
        <v>13</v>
      </c>
      <c r="AI23" t="s">
        <v>13</v>
      </c>
      <c r="AJ23" s="123" t="s">
        <v>13</v>
      </c>
      <c r="AK23" s="123" t="s">
        <v>13</v>
      </c>
      <c r="AL23" s="123" t="s">
        <v>13</v>
      </c>
      <c r="AM23" s="123" t="s">
        <v>13</v>
      </c>
      <c r="AN23" t="s">
        <v>13</v>
      </c>
      <c r="AO23" t="s">
        <v>13</v>
      </c>
      <c r="AP23" t="s">
        <v>13</v>
      </c>
      <c r="AQ23" t="s">
        <v>13</v>
      </c>
    </row>
    <row r="24" spans="1:43" x14ac:dyDescent="0.25">
      <c r="A24" s="1" t="s">
        <v>10</v>
      </c>
      <c r="B24">
        <v>2310.19</v>
      </c>
      <c r="C24">
        <v>859.06899999999996</v>
      </c>
      <c r="D24">
        <v>2105.35</v>
      </c>
      <c r="E24" s="3">
        <v>2166.0300000000002</v>
      </c>
      <c r="F24" s="3">
        <v>2310.19</v>
      </c>
      <c r="G24" s="3">
        <v>2102.7800000000002</v>
      </c>
      <c r="H24" s="4">
        <v>1244.55</v>
      </c>
      <c r="I24" s="4">
        <v>1252.8399999999999</v>
      </c>
      <c r="J24" s="4">
        <v>1271.3800000000001</v>
      </c>
      <c r="K24" s="4">
        <v>1200.75</v>
      </c>
      <c r="L24" s="3">
        <v>2189.79</v>
      </c>
      <c r="M24" s="3">
        <v>2130.84</v>
      </c>
      <c r="N24" s="3">
        <v>2340.19</v>
      </c>
      <c r="O24" s="3">
        <v>2319.5300000000002</v>
      </c>
      <c r="P24" s="82">
        <v>1224.1300000000001</v>
      </c>
      <c r="Q24" s="82">
        <v>1449.97</v>
      </c>
      <c r="R24" s="82">
        <v>1332.55</v>
      </c>
      <c r="S24" s="82">
        <v>1465.09</v>
      </c>
      <c r="T24" s="3">
        <v>989.54499999999996</v>
      </c>
      <c r="U24" s="3">
        <v>1018.68</v>
      </c>
      <c r="V24" s="3">
        <v>1008.46</v>
      </c>
      <c r="W24" s="3">
        <v>810</v>
      </c>
      <c r="X24">
        <v>1044.8399999999999</v>
      </c>
      <c r="Y24">
        <v>1080</v>
      </c>
      <c r="Z24">
        <v>1082.08</v>
      </c>
      <c r="AA24">
        <v>1146.3</v>
      </c>
      <c r="AB24" s="123">
        <v>2155.1999999999998</v>
      </c>
      <c r="AC24" s="123">
        <v>2200.5</v>
      </c>
      <c r="AD24" s="123">
        <v>2208.0100000000002</v>
      </c>
      <c r="AE24" s="123">
        <v>2236.36</v>
      </c>
      <c r="AF24">
        <v>1416.05</v>
      </c>
      <c r="AG24">
        <v>1218.24</v>
      </c>
      <c r="AH24">
        <v>1412.817</v>
      </c>
      <c r="AI24">
        <v>1355.32</v>
      </c>
      <c r="AJ24" s="123">
        <v>1449.03</v>
      </c>
      <c r="AK24" s="123">
        <v>1597.9</v>
      </c>
      <c r="AL24" s="123">
        <v>1633.5</v>
      </c>
      <c r="AM24" s="123">
        <v>1574.07</v>
      </c>
      <c r="AN24">
        <v>870</v>
      </c>
      <c r="AO24">
        <v>930.48400000000004</v>
      </c>
      <c r="AP24">
        <v>1110</v>
      </c>
      <c r="AQ24">
        <v>1110.23</v>
      </c>
    </row>
    <row r="25" spans="1:43" x14ac:dyDescent="0.25">
      <c r="A25" s="17"/>
      <c r="B25" s="7"/>
      <c r="E25" s="6"/>
      <c r="H25" s="5"/>
      <c r="I25" s="4"/>
      <c r="J25" s="4"/>
      <c r="K25" s="4"/>
      <c r="L25" s="6"/>
      <c r="M25" s="6"/>
      <c r="P25" s="83"/>
      <c r="Q25" s="83"/>
      <c r="R25" s="83"/>
      <c r="S25" s="83"/>
      <c r="T25" s="6"/>
      <c r="AB25" s="123"/>
      <c r="AC25" s="123"/>
      <c r="AD25" s="123"/>
      <c r="AE25" s="123"/>
      <c r="AJ25" s="123"/>
      <c r="AK25" s="123"/>
      <c r="AL25" s="123"/>
      <c r="AM25" s="123"/>
    </row>
    <row r="26" spans="1:43" x14ac:dyDescent="0.25">
      <c r="A26" s="1"/>
      <c r="H26" s="4"/>
      <c r="I26" s="4"/>
      <c r="J26" s="4"/>
      <c r="K26" s="4"/>
      <c r="P26" s="83"/>
      <c r="Q26" s="83"/>
      <c r="R26" s="83"/>
      <c r="S26" s="83"/>
      <c r="AB26" s="123"/>
      <c r="AC26" s="123"/>
      <c r="AD26" s="123"/>
      <c r="AE26" s="123"/>
      <c r="AJ26" s="123"/>
      <c r="AK26" s="123"/>
      <c r="AL26" s="123"/>
      <c r="AM26" s="123"/>
    </row>
    <row r="27" spans="1:43" s="2" customFormat="1" x14ac:dyDescent="0.25">
      <c r="A27" s="2" t="s">
        <v>3</v>
      </c>
      <c r="P27" s="85"/>
      <c r="Q27" s="85"/>
      <c r="R27" s="85"/>
      <c r="S27" s="85"/>
      <c r="AB27" s="124"/>
      <c r="AC27" s="124"/>
      <c r="AD27" s="124"/>
      <c r="AE27" s="124"/>
      <c r="AJ27" s="124"/>
      <c r="AK27" s="124"/>
      <c r="AL27" s="124"/>
      <c r="AM27" s="124"/>
    </row>
    <row r="28" spans="1:43" x14ac:dyDescent="0.25">
      <c r="A28" s="1" t="s">
        <v>7</v>
      </c>
      <c r="B28">
        <v>368.63799999999998</v>
      </c>
      <c r="C28">
        <v>461.81799999999998</v>
      </c>
      <c r="D28">
        <v>523.92700000000002</v>
      </c>
      <c r="E28" s="3">
        <v>360</v>
      </c>
      <c r="F28" s="3">
        <v>457.93</v>
      </c>
      <c r="G28" s="3">
        <v>615.54899999999998</v>
      </c>
      <c r="H28" s="4">
        <v>94.868300000000005</v>
      </c>
      <c r="I28" s="4">
        <v>228.47300000000001</v>
      </c>
      <c r="J28" s="4">
        <v>308.86900000000003</v>
      </c>
      <c r="K28" s="4">
        <v>384.18700000000001</v>
      </c>
      <c r="L28" s="3">
        <v>833.54700000000003</v>
      </c>
      <c r="M28" s="3">
        <v>941.54100000000005</v>
      </c>
      <c r="N28" s="3">
        <v>1066.23</v>
      </c>
      <c r="O28" s="3">
        <v>1087.06</v>
      </c>
      <c r="P28" s="82">
        <v>196.67</v>
      </c>
      <c r="Q28" s="82">
        <v>364.96600000000001</v>
      </c>
      <c r="R28" s="82">
        <v>474.34199999999998</v>
      </c>
      <c r="S28" s="82">
        <v>516.14</v>
      </c>
      <c r="T28" s="3">
        <v>150</v>
      </c>
      <c r="U28" s="3">
        <v>152.971</v>
      </c>
      <c r="V28" s="3">
        <v>241.86799999999999</v>
      </c>
      <c r="W28" s="3">
        <v>335.41</v>
      </c>
      <c r="X28">
        <v>631.78250000000003</v>
      </c>
      <c r="Y28">
        <v>673.82550000000003</v>
      </c>
      <c r="Z28">
        <v>740.94500000000005</v>
      </c>
      <c r="AA28">
        <v>778.55600000000004</v>
      </c>
      <c r="AB28" s="123">
        <v>466.69</v>
      </c>
      <c r="AC28" s="123">
        <v>488.36500000000001</v>
      </c>
      <c r="AD28" s="123">
        <v>480.93700000000001</v>
      </c>
      <c r="AE28" s="123">
        <v>450</v>
      </c>
      <c r="AF28">
        <v>218.40299999999999</v>
      </c>
      <c r="AG28">
        <v>283.01900000000001</v>
      </c>
      <c r="AH28">
        <v>335.41</v>
      </c>
      <c r="AI28">
        <v>402.49200000000002</v>
      </c>
      <c r="AJ28" s="123">
        <v>1116.47</v>
      </c>
      <c r="AK28" s="123">
        <v>1060.6600000000001</v>
      </c>
      <c r="AL28" s="123">
        <v>1103.0899999999999</v>
      </c>
      <c r="AM28" s="123">
        <v>1108.58</v>
      </c>
      <c r="AN28">
        <v>241.86799999999999</v>
      </c>
      <c r="AO28">
        <v>241.86799999999999</v>
      </c>
      <c r="AP28">
        <v>445.98200000000003</v>
      </c>
      <c r="AQ28">
        <v>450.99900000000002</v>
      </c>
    </row>
    <row r="29" spans="1:43" x14ac:dyDescent="0.25">
      <c r="A29" s="1" t="s">
        <v>8</v>
      </c>
      <c r="B29">
        <v>509.63299999999998</v>
      </c>
      <c r="C29">
        <v>633.20899999999995</v>
      </c>
      <c r="D29">
        <v>579.17700000000002</v>
      </c>
      <c r="E29" s="3">
        <v>497.15649999999999</v>
      </c>
      <c r="F29" s="3">
        <v>568.27075000000002</v>
      </c>
      <c r="G29" s="3">
        <v>610.98099999999999</v>
      </c>
      <c r="H29" s="4">
        <v>332.43299999999999</v>
      </c>
      <c r="I29" s="4">
        <v>418.03919999999999</v>
      </c>
      <c r="J29" s="4">
        <v>320.92450000000002</v>
      </c>
      <c r="K29" s="4">
        <v>293.447</v>
      </c>
      <c r="L29" s="3">
        <v>1066.819</v>
      </c>
      <c r="M29" s="3">
        <v>934.30550000000005</v>
      </c>
      <c r="N29" s="3">
        <v>906.13199999999995</v>
      </c>
      <c r="O29" s="3">
        <v>865.69299999999998</v>
      </c>
      <c r="P29" s="82">
        <v>365.80550000000005</v>
      </c>
      <c r="Q29" s="82">
        <v>461.67349999999999</v>
      </c>
      <c r="R29" s="82">
        <v>508.58899999999994</v>
      </c>
      <c r="S29" s="82">
        <v>533.59399999999994</v>
      </c>
      <c r="T29" s="3">
        <v>191.73320000000001</v>
      </c>
      <c r="U29" s="3">
        <v>241.78700000000001</v>
      </c>
      <c r="V29" s="3">
        <v>267.3125</v>
      </c>
      <c r="W29" s="3">
        <v>342.041</v>
      </c>
      <c r="X29">
        <v>443.33049999999997</v>
      </c>
      <c r="Y29">
        <v>475.98099999999999</v>
      </c>
      <c r="Z29">
        <v>434.81799999999998</v>
      </c>
      <c r="AA29">
        <v>421.45800000000003</v>
      </c>
      <c r="AB29" s="123">
        <v>489.39400000000001</v>
      </c>
      <c r="AC29" s="123">
        <v>498.58924999999999</v>
      </c>
      <c r="AD29" s="123">
        <v>461.31599999999997</v>
      </c>
      <c r="AE29" s="123">
        <v>445.83949999999999</v>
      </c>
      <c r="AF29">
        <v>359.48250000000002</v>
      </c>
      <c r="AG29">
        <v>252.666</v>
      </c>
      <c r="AH29">
        <v>290.76</v>
      </c>
      <c r="AI29">
        <v>318.39499999999998</v>
      </c>
      <c r="AJ29" s="123">
        <v>744.15099999999995</v>
      </c>
      <c r="AK29" s="123">
        <v>783.20650000000001</v>
      </c>
      <c r="AL29" s="123">
        <v>664.71550000000002</v>
      </c>
      <c r="AM29" s="123">
        <v>632.79600000000005</v>
      </c>
      <c r="AN29">
        <v>284.60469999999998</v>
      </c>
      <c r="AO29">
        <v>298.50200000000001</v>
      </c>
      <c r="AP29">
        <v>382.392</v>
      </c>
      <c r="AQ29">
        <v>385.34800000000001</v>
      </c>
    </row>
    <row r="30" spans="1:43" x14ac:dyDescent="0.25">
      <c r="A30" s="1" t="s">
        <v>9</v>
      </c>
      <c r="B30">
        <v>30</v>
      </c>
      <c r="C30">
        <v>60</v>
      </c>
      <c r="D30">
        <v>30</v>
      </c>
      <c r="E30" s="3">
        <v>30</v>
      </c>
      <c r="F30" s="3">
        <v>30</v>
      </c>
      <c r="G30" s="3">
        <v>60</v>
      </c>
      <c r="H30" s="4" t="s">
        <v>13</v>
      </c>
      <c r="I30" s="4" t="s">
        <v>13</v>
      </c>
      <c r="J30" s="4" t="s">
        <v>13</v>
      </c>
      <c r="K30" s="4" t="s">
        <v>13</v>
      </c>
      <c r="L30" s="3" t="s">
        <v>13</v>
      </c>
      <c r="M30" s="3" t="s">
        <v>13</v>
      </c>
      <c r="N30" s="3" t="s">
        <v>24</v>
      </c>
      <c r="O30" s="3">
        <v>42.426400000000001</v>
      </c>
      <c r="P30" s="82">
        <v>0</v>
      </c>
      <c r="Q30" s="82">
        <v>0</v>
      </c>
      <c r="R30" s="82">
        <v>0</v>
      </c>
      <c r="S30" s="82">
        <v>42.426400000000001</v>
      </c>
      <c r="T30" s="3" t="s">
        <v>13</v>
      </c>
      <c r="U30" s="3" t="s">
        <v>13</v>
      </c>
      <c r="V30" s="3" t="s">
        <v>13</v>
      </c>
      <c r="W30" s="3">
        <v>442.4264</v>
      </c>
      <c r="X30" t="s">
        <v>13</v>
      </c>
      <c r="Y30">
        <v>30</v>
      </c>
      <c r="Z30">
        <v>30</v>
      </c>
      <c r="AA30">
        <v>30</v>
      </c>
      <c r="AB30" s="123" t="s">
        <v>13</v>
      </c>
      <c r="AC30" s="123">
        <v>30</v>
      </c>
      <c r="AD30" s="123">
        <v>42.426400000000001</v>
      </c>
      <c r="AE30" s="123">
        <v>60</v>
      </c>
      <c r="AF30" t="s">
        <v>13</v>
      </c>
      <c r="AG30">
        <v>30</v>
      </c>
      <c r="AH30">
        <v>30</v>
      </c>
      <c r="AI30" t="s">
        <v>13</v>
      </c>
      <c r="AJ30" s="123" t="s">
        <v>13</v>
      </c>
      <c r="AK30" s="123" t="s">
        <v>13</v>
      </c>
      <c r="AL30" s="123" t="s">
        <v>13</v>
      </c>
      <c r="AM30" s="123">
        <v>212.13200000000001</v>
      </c>
      <c r="AN30" t="s">
        <v>13</v>
      </c>
      <c r="AO30" t="s">
        <v>13</v>
      </c>
      <c r="AP30" t="s">
        <v>13</v>
      </c>
      <c r="AQ30">
        <v>30</v>
      </c>
    </row>
    <row r="31" spans="1:43" x14ac:dyDescent="0.25">
      <c r="A31" s="1" t="s">
        <v>10</v>
      </c>
      <c r="B31">
        <v>2814.41</v>
      </c>
      <c r="C31">
        <v>2031.6</v>
      </c>
      <c r="D31">
        <v>3536.57</v>
      </c>
      <c r="E31" s="3">
        <v>2814.41</v>
      </c>
      <c r="F31" s="3">
        <v>3536.57</v>
      </c>
      <c r="G31" s="3">
        <v>3456.26</v>
      </c>
      <c r="H31" s="4">
        <v>1200.3800000000001</v>
      </c>
      <c r="I31" s="4">
        <v>1344.66</v>
      </c>
      <c r="J31" s="4">
        <v>1288.25</v>
      </c>
      <c r="K31" s="4">
        <v>1230.3699999999999</v>
      </c>
      <c r="L31" s="3">
        <v>3195.39</v>
      </c>
      <c r="M31" s="3">
        <v>3097.42</v>
      </c>
      <c r="N31" s="3">
        <v>3241.1320000000001</v>
      </c>
      <c r="O31" s="3">
        <v>3103.37</v>
      </c>
      <c r="P31" s="82">
        <v>1355.32</v>
      </c>
      <c r="Q31" s="82">
        <v>1945.38</v>
      </c>
      <c r="R31" s="82">
        <v>2482.94</v>
      </c>
      <c r="S31" s="82">
        <v>2336.92</v>
      </c>
      <c r="T31" s="3">
        <v>1060.24</v>
      </c>
      <c r="U31" s="3">
        <v>1041.3900000000001</v>
      </c>
      <c r="V31" s="3">
        <v>1026.1600000000001</v>
      </c>
      <c r="W31" s="3">
        <v>1005.78</v>
      </c>
      <c r="X31">
        <v>1458.01</v>
      </c>
      <c r="Y31">
        <v>1534.7</v>
      </c>
      <c r="Z31">
        <v>1530</v>
      </c>
      <c r="AA31">
        <v>1548.71</v>
      </c>
      <c r="AB31" s="123">
        <v>1592.26</v>
      </c>
      <c r="AC31" s="123">
        <v>1518.19</v>
      </c>
      <c r="AD31" s="123">
        <v>1408.72</v>
      </c>
      <c r="AE31" s="123">
        <v>1358.31</v>
      </c>
      <c r="AF31">
        <v>1056.83</v>
      </c>
      <c r="AG31">
        <v>948.68299999999999</v>
      </c>
      <c r="AH31">
        <v>1092.02</v>
      </c>
      <c r="AI31">
        <v>1072.05</v>
      </c>
      <c r="AJ31" s="123">
        <v>2089.04</v>
      </c>
      <c r="AK31" s="123">
        <v>2052.3200000000002</v>
      </c>
      <c r="AL31" s="123">
        <v>2012.01</v>
      </c>
      <c r="AM31" s="123">
        <v>2082.14</v>
      </c>
      <c r="AN31">
        <v>1083.74</v>
      </c>
      <c r="AO31">
        <v>1103.9000000000001</v>
      </c>
      <c r="AP31">
        <v>1090.78</v>
      </c>
      <c r="AQ31">
        <v>1046.57</v>
      </c>
    </row>
    <row r="32" spans="1:43" x14ac:dyDescent="0.25">
      <c r="A32" s="17"/>
      <c r="B32" s="5"/>
      <c r="E32" s="6"/>
      <c r="H32" s="5"/>
      <c r="I32" s="4"/>
      <c r="J32" s="4"/>
      <c r="K32" s="4"/>
      <c r="L32" s="6"/>
      <c r="M32" s="6"/>
      <c r="P32" s="72"/>
      <c r="Q32" s="72"/>
      <c r="R32" s="72"/>
      <c r="S32" s="72"/>
      <c r="T32" s="6"/>
      <c r="AB32" s="123"/>
      <c r="AC32" s="123"/>
      <c r="AD32" s="123"/>
      <c r="AE32" s="123"/>
      <c r="AJ32" s="123"/>
      <c r="AK32" s="123"/>
      <c r="AL32" s="123"/>
      <c r="AM32" s="123"/>
    </row>
    <row r="33" spans="1:43" x14ac:dyDescent="0.25">
      <c r="A33" s="1"/>
      <c r="H33" s="4"/>
      <c r="I33" s="4"/>
      <c r="J33" s="4"/>
      <c r="K33" s="4"/>
      <c r="P33" s="72"/>
      <c r="Q33" s="72"/>
      <c r="R33" s="72"/>
      <c r="S33" s="72"/>
      <c r="AJ33" s="123"/>
      <c r="AK33" s="123"/>
      <c r="AL33" s="123"/>
      <c r="AM33" s="123"/>
    </row>
    <row r="34" spans="1:43" s="2" customFormat="1" x14ac:dyDescent="0.25">
      <c r="A34" s="2" t="s">
        <v>4</v>
      </c>
      <c r="P34" s="74"/>
      <c r="Q34" s="74"/>
      <c r="R34" s="74"/>
      <c r="S34" s="74"/>
      <c r="AJ34" s="124"/>
      <c r="AK34" s="124"/>
      <c r="AL34" s="124"/>
      <c r="AM34" s="124"/>
    </row>
    <row r="35" spans="1:43" x14ac:dyDescent="0.25">
      <c r="A35" s="1" t="s">
        <v>7</v>
      </c>
      <c r="B35">
        <v>-0.48808249999999997</v>
      </c>
      <c r="C35">
        <v>-0.24749750000000001</v>
      </c>
      <c r="D35">
        <v>0.31066250000000001</v>
      </c>
      <c r="E35" s="3">
        <v>-0.131934</v>
      </c>
      <c r="F35" s="3">
        <v>6.8207000000000004E-2</v>
      </c>
      <c r="G35" s="3">
        <v>0.61893799999999999</v>
      </c>
      <c r="H35" s="4">
        <v>-0.50979350000000001</v>
      </c>
      <c r="I35" s="4">
        <v>-0.63306600000000002</v>
      </c>
      <c r="J35" s="4">
        <v>-0.70621900000000004</v>
      </c>
      <c r="K35" s="4">
        <v>-0.21792400000000001</v>
      </c>
      <c r="L35" s="3">
        <v>-0.40822700000000001</v>
      </c>
      <c r="M35" s="3">
        <v>-0.35802600000000001</v>
      </c>
      <c r="N35" s="3">
        <v>-0.19289100000000001</v>
      </c>
      <c r="O35" s="3">
        <v>0.41656900000000002</v>
      </c>
      <c r="P35" s="79">
        <v>-0.56618849999999998</v>
      </c>
      <c r="Q35" s="79">
        <v>-0.46159699999999998</v>
      </c>
      <c r="R35" s="79">
        <v>0.15197450000000001</v>
      </c>
      <c r="S35" s="79">
        <v>0.74766600000000005</v>
      </c>
      <c r="T35" s="3">
        <v>-0.55374299999999999</v>
      </c>
      <c r="U35" s="3">
        <v>-0.41819600000000001</v>
      </c>
      <c r="V35" s="3">
        <v>-3.9498999999999999E-2</v>
      </c>
      <c r="W35" s="3">
        <v>0.55460600000000004</v>
      </c>
      <c r="X35">
        <v>-0.29625950000000001</v>
      </c>
      <c r="Y35">
        <v>-0.39602700000000002</v>
      </c>
      <c r="Z35">
        <v>-0.25495099999999998</v>
      </c>
      <c r="AA35">
        <v>0.27044550000000001</v>
      </c>
      <c r="AB35" s="123">
        <v>-0.52379299999999995</v>
      </c>
      <c r="AC35" s="123">
        <v>-0.41769099999999998</v>
      </c>
      <c r="AD35" s="123">
        <v>-0.20657</v>
      </c>
      <c r="AE35" s="123">
        <v>0.30047000000000001</v>
      </c>
      <c r="AF35">
        <v>-0.29126800000000003</v>
      </c>
      <c r="AG35">
        <v>-0.39295200000000002</v>
      </c>
      <c r="AH35">
        <v>-0.32273000000000002</v>
      </c>
      <c r="AI35">
        <v>0.20672099999999999</v>
      </c>
      <c r="AJ35" s="123">
        <v>0.29336299999999998</v>
      </c>
      <c r="AK35" s="123">
        <v>-8.7027149999999998E-2</v>
      </c>
      <c r="AL35" s="123">
        <v>0.37537500000000001</v>
      </c>
      <c r="AM35" s="123">
        <v>0.78805250000000004</v>
      </c>
      <c r="AN35">
        <v>0.15873300000000001</v>
      </c>
      <c r="AO35">
        <v>-0.44624399999999997</v>
      </c>
      <c r="AP35">
        <v>6.7318100000000006E-2</v>
      </c>
      <c r="AQ35">
        <v>0.56127800000000005</v>
      </c>
    </row>
    <row r="36" spans="1:43" x14ac:dyDescent="0.25">
      <c r="A36" s="1" t="s">
        <v>8</v>
      </c>
      <c r="B36">
        <v>1.4469624999999999</v>
      </c>
      <c r="C36">
        <v>1.24962475</v>
      </c>
      <c r="D36">
        <v>1.2105699999999999</v>
      </c>
      <c r="E36" s="3">
        <v>1.3804080000000001</v>
      </c>
      <c r="F36" s="3">
        <v>1.331035</v>
      </c>
      <c r="G36" s="3">
        <v>0.80837510000000001</v>
      </c>
      <c r="H36" s="4">
        <v>0.83705039999999997</v>
      </c>
      <c r="I36" s="4">
        <v>0.78279500000000002</v>
      </c>
      <c r="J36" s="4">
        <v>0.63628024999999999</v>
      </c>
      <c r="K36" s="4">
        <v>1.111137</v>
      </c>
      <c r="L36" s="3">
        <v>1.0033609999999999</v>
      </c>
      <c r="M36" s="3">
        <v>1.1632119999999999</v>
      </c>
      <c r="N36" s="3">
        <v>1.0627845</v>
      </c>
      <c r="O36" s="3">
        <v>0.93821949999999998</v>
      </c>
      <c r="P36" s="79">
        <v>1.2680750000000001</v>
      </c>
      <c r="Q36" s="79">
        <v>1.2158605</v>
      </c>
      <c r="R36" s="79">
        <v>1.33848425</v>
      </c>
      <c r="S36" s="79">
        <v>0.63888500000000004</v>
      </c>
      <c r="T36" s="3">
        <v>1.12446</v>
      </c>
      <c r="U36" s="3">
        <v>1.2544010000000001</v>
      </c>
      <c r="V36" s="3">
        <v>1.3116935000000001</v>
      </c>
      <c r="W36" s="3">
        <v>0.97781099999999999</v>
      </c>
      <c r="X36">
        <v>1.2100555</v>
      </c>
      <c r="Y36">
        <v>1.0061655</v>
      </c>
      <c r="Z36">
        <v>0.99625399999999997</v>
      </c>
      <c r="AA36">
        <v>1.0722455</v>
      </c>
      <c r="AB36" s="123">
        <v>0.82110640000000001</v>
      </c>
      <c r="AC36" s="123">
        <v>0.90460474999999996</v>
      </c>
      <c r="AD36" s="123">
        <v>0.97633000000000003</v>
      </c>
      <c r="AE36" s="123">
        <v>0.85862400000000005</v>
      </c>
      <c r="AF36">
        <v>1.1556055000000001</v>
      </c>
      <c r="AG36">
        <v>1.14571</v>
      </c>
      <c r="AH36">
        <v>-0.99999899999999997</v>
      </c>
      <c r="AI36">
        <v>1.4037545</v>
      </c>
      <c r="AJ36" s="123">
        <v>1.2280960000000001</v>
      </c>
      <c r="AK36" s="123">
        <v>1.43131425</v>
      </c>
      <c r="AL36" s="123">
        <v>1.1276105000000001</v>
      </c>
      <c r="AM36" s="123">
        <v>0.52303900000000003</v>
      </c>
      <c r="AN36">
        <v>1.4646729999999999</v>
      </c>
      <c r="AO36">
        <v>1.2873840000000001</v>
      </c>
      <c r="AP36">
        <v>1.186275</v>
      </c>
      <c r="AQ36">
        <v>0.6513255</v>
      </c>
    </row>
    <row r="37" spans="1:43" x14ac:dyDescent="0.25">
      <c r="A37" s="1" t="s">
        <v>9</v>
      </c>
      <c r="B37">
        <v>-0.99999990000000005</v>
      </c>
      <c r="C37">
        <v>-0.99863299999999999</v>
      </c>
      <c r="D37">
        <v>-0.99999899999999997</v>
      </c>
      <c r="E37" s="3">
        <v>-0.99999899999999997</v>
      </c>
      <c r="F37" s="3">
        <v>-0.99999899999999997</v>
      </c>
      <c r="G37" s="3">
        <v>-0.99999899999999997</v>
      </c>
      <c r="H37" s="4">
        <v>-0.99870599999999998</v>
      </c>
      <c r="I37" s="4">
        <v>-0.99999899999999997</v>
      </c>
      <c r="J37" s="4">
        <v>-0.99999899999999997</v>
      </c>
      <c r="K37" s="4">
        <v>-0.99999899999999997</v>
      </c>
      <c r="L37" s="3">
        <v>-0.99999899999999997</v>
      </c>
      <c r="M37" s="3">
        <v>-0.99999899999999997</v>
      </c>
      <c r="N37" s="3">
        <v>-0.99999899999999997</v>
      </c>
      <c r="O37" s="3">
        <v>-0.99999899999999997</v>
      </c>
      <c r="P37" s="79">
        <v>-0.99999899999999997</v>
      </c>
      <c r="Q37" s="79">
        <v>-0.99999899999999997</v>
      </c>
      <c r="R37" s="79">
        <v>-0.99999899999999997</v>
      </c>
      <c r="S37" s="79">
        <v>-0.99999899999999997</v>
      </c>
      <c r="T37" s="3">
        <v>-0.99999899999999997</v>
      </c>
      <c r="U37" s="3">
        <v>-0.99999899999999997</v>
      </c>
      <c r="V37" s="3">
        <v>-0.99990900000000005</v>
      </c>
      <c r="W37" s="3">
        <v>-0.99885900000000005</v>
      </c>
      <c r="X37">
        <v>-0.99999899999999997</v>
      </c>
      <c r="Y37">
        <v>-0.99999899999999997</v>
      </c>
      <c r="Z37">
        <v>-0.99999899999999997</v>
      </c>
      <c r="AA37">
        <v>-0.99967899999999998</v>
      </c>
      <c r="AB37" s="123">
        <v>-0.99999899999999997</v>
      </c>
      <c r="AC37" s="123">
        <v>-0.99999899999999997</v>
      </c>
      <c r="AD37" s="123">
        <v>-0.99985500000000005</v>
      </c>
      <c r="AE37" s="123">
        <v>-0.99996099999999999</v>
      </c>
      <c r="AF37">
        <v>-0.99999899999999997</v>
      </c>
      <c r="AG37">
        <v>-0.99999899999999997</v>
      </c>
      <c r="AH37">
        <v>1</v>
      </c>
      <c r="AI37">
        <v>-0.99999899999999997</v>
      </c>
      <c r="AJ37" s="123">
        <v>-0.99989300000000003</v>
      </c>
      <c r="AK37" s="123">
        <v>-0.99999899999999997</v>
      </c>
      <c r="AL37" s="123">
        <v>-0.99999899999999997</v>
      </c>
      <c r="AM37" s="123">
        <v>-0.99823399999999995</v>
      </c>
      <c r="AN37">
        <v>-0.99999000000000005</v>
      </c>
      <c r="AO37">
        <v>-0.99999899999999997</v>
      </c>
      <c r="AP37">
        <v>-0.99999899999999997</v>
      </c>
      <c r="AQ37">
        <v>-0.99407299999999998</v>
      </c>
    </row>
    <row r="38" spans="1:43" x14ac:dyDescent="0.25">
      <c r="A38" s="1" t="s">
        <v>10</v>
      </c>
      <c r="B38">
        <v>1</v>
      </c>
      <c r="C38">
        <v>0.97099500000000005</v>
      </c>
      <c r="D38">
        <v>1</v>
      </c>
      <c r="E38" s="3">
        <v>1</v>
      </c>
      <c r="F38" s="3">
        <v>1</v>
      </c>
      <c r="G38" s="3">
        <v>1</v>
      </c>
      <c r="H38" s="4">
        <v>0.98688900000000002</v>
      </c>
      <c r="I38" s="4">
        <v>0.99984799999999996</v>
      </c>
      <c r="J38" s="4">
        <v>1</v>
      </c>
      <c r="K38" s="4">
        <v>1</v>
      </c>
      <c r="L38" s="3">
        <v>1</v>
      </c>
      <c r="M38" s="3">
        <v>1</v>
      </c>
      <c r="N38" s="3">
        <v>1</v>
      </c>
      <c r="O38" s="3">
        <v>1</v>
      </c>
      <c r="P38" s="79">
        <v>1</v>
      </c>
      <c r="Q38" s="79">
        <v>0.999857</v>
      </c>
      <c r="R38" s="79">
        <v>1</v>
      </c>
      <c r="S38" s="79">
        <v>1</v>
      </c>
      <c r="T38" s="3">
        <v>1</v>
      </c>
      <c r="U38" s="3">
        <v>1</v>
      </c>
      <c r="V38" s="3">
        <v>1</v>
      </c>
      <c r="W38" s="3">
        <v>1</v>
      </c>
      <c r="X38">
        <v>1</v>
      </c>
      <c r="Y38">
        <v>1</v>
      </c>
      <c r="Z38">
        <v>1</v>
      </c>
      <c r="AA38">
        <v>1</v>
      </c>
      <c r="AB38" s="123">
        <v>1</v>
      </c>
      <c r="AC38" s="123">
        <v>0.99991399999999997</v>
      </c>
      <c r="AD38" s="123">
        <v>1</v>
      </c>
      <c r="AE38" s="123">
        <v>1</v>
      </c>
      <c r="AF38">
        <v>0.99997800000000003</v>
      </c>
      <c r="AG38">
        <v>1</v>
      </c>
      <c r="AH38">
        <v>1.238607</v>
      </c>
      <c r="AI38">
        <v>1</v>
      </c>
      <c r="AJ38" s="123">
        <v>1</v>
      </c>
      <c r="AK38" s="123">
        <v>1</v>
      </c>
      <c r="AL38" s="123">
        <v>1</v>
      </c>
      <c r="AM38" s="123">
        <v>0.99956800000000001</v>
      </c>
      <c r="AN38">
        <v>1</v>
      </c>
      <c r="AO38">
        <v>1</v>
      </c>
      <c r="AP38">
        <v>0.99977400000000005</v>
      </c>
      <c r="AQ38">
        <v>0.99959299999999995</v>
      </c>
    </row>
    <row r="39" spans="1:43" x14ac:dyDescent="0.25">
      <c r="A39" s="17"/>
      <c r="B39" s="5"/>
      <c r="E39" s="6"/>
      <c r="H39" s="5"/>
      <c r="I39" s="4"/>
      <c r="J39" s="4"/>
      <c r="K39" s="4"/>
      <c r="L39" s="6"/>
      <c r="M39" s="6"/>
      <c r="P39" s="72"/>
      <c r="Q39" s="72"/>
      <c r="R39" s="72"/>
      <c r="S39" s="72"/>
      <c r="T39" s="6"/>
      <c r="AB39" s="123"/>
      <c r="AC39" s="123"/>
      <c r="AD39" s="123"/>
      <c r="AE39" s="123"/>
      <c r="AJ39" s="123"/>
      <c r="AK39" s="123"/>
      <c r="AL39" s="123"/>
      <c r="AM39" s="123"/>
    </row>
    <row r="40" spans="1:43" x14ac:dyDescent="0.25">
      <c r="A40" s="1"/>
      <c r="H40" s="4"/>
      <c r="I40" s="4"/>
      <c r="J40" s="4"/>
      <c r="K40" s="4"/>
      <c r="P40" s="72"/>
      <c r="Q40" s="72"/>
      <c r="R40" s="72"/>
      <c r="S40" s="72"/>
      <c r="AB40" s="123"/>
      <c r="AC40" s="123"/>
      <c r="AD40" s="123"/>
      <c r="AE40" s="123"/>
      <c r="AJ40" s="123"/>
      <c r="AK40" s="123"/>
      <c r="AL40" s="123"/>
      <c r="AM40" s="123"/>
    </row>
    <row r="41" spans="1:43" s="2" customFormat="1" x14ac:dyDescent="0.25">
      <c r="A41" s="2" t="s">
        <v>5</v>
      </c>
      <c r="P41" s="72"/>
      <c r="Q41" s="74"/>
      <c r="R41" s="74"/>
      <c r="S41" s="74"/>
      <c r="X41"/>
      <c r="Y41"/>
      <c r="Z41"/>
      <c r="AA41"/>
      <c r="AB41" s="123"/>
      <c r="AC41" s="123"/>
      <c r="AD41" s="123"/>
      <c r="AE41" s="123"/>
      <c r="AF41"/>
      <c r="AG41"/>
      <c r="AH41"/>
      <c r="AI41"/>
      <c r="AJ41" s="123"/>
      <c r="AK41" s="123"/>
      <c r="AL41" s="123"/>
      <c r="AM41" s="123"/>
      <c r="AN41"/>
      <c r="AO41"/>
      <c r="AP41"/>
      <c r="AQ41"/>
    </row>
    <row r="42" spans="1:43" x14ac:dyDescent="0.25">
      <c r="A42" s="1" t="s">
        <v>7</v>
      </c>
      <c r="B42">
        <v>0.30841449999999998</v>
      </c>
      <c r="C42">
        <v>0.66751199999999999</v>
      </c>
      <c r="D42">
        <v>0.29261100000000001</v>
      </c>
      <c r="E42" s="3">
        <v>0.31765199999999999</v>
      </c>
      <c r="F42" s="3">
        <v>0.34327299999999999</v>
      </c>
      <c r="G42" s="3">
        <v>0.18579399999999999</v>
      </c>
      <c r="H42" s="4">
        <v>0.69296349999999995</v>
      </c>
      <c r="I42" s="4">
        <v>0.515683</v>
      </c>
      <c r="J42" s="4">
        <v>0.22304499999999999</v>
      </c>
      <c r="K42" s="4">
        <v>0.452677</v>
      </c>
      <c r="L42" s="3">
        <v>0.395258</v>
      </c>
      <c r="M42" s="3">
        <v>0.37865500000000002</v>
      </c>
      <c r="N42" s="3">
        <v>0.55365549999999997</v>
      </c>
      <c r="O42" s="3">
        <v>0.383413</v>
      </c>
      <c r="P42" s="79">
        <v>0.29809949999999996</v>
      </c>
      <c r="Q42" s="79">
        <v>0.247891</v>
      </c>
      <c r="R42" s="79">
        <v>0.30031750000000001</v>
      </c>
      <c r="S42" s="79">
        <v>0.18992200000000001</v>
      </c>
      <c r="T42" s="3">
        <v>7.6418100000000003E-2</v>
      </c>
      <c r="U42" s="3">
        <v>9.7048400000000007E-2</v>
      </c>
      <c r="V42" s="3">
        <v>3.8412700000000001E-2</v>
      </c>
      <c r="W42" s="3">
        <v>-0.14465700000000001</v>
      </c>
      <c r="X42">
        <v>0.50960649999999996</v>
      </c>
      <c r="Y42">
        <v>0.61432299999999995</v>
      </c>
      <c r="Z42">
        <v>0.63295500000000005</v>
      </c>
      <c r="AA42">
        <v>0.724051</v>
      </c>
      <c r="AB42" s="123">
        <v>0.117771</v>
      </c>
      <c r="AC42" s="123">
        <v>0.302344</v>
      </c>
      <c r="AD42" s="123">
        <v>0.47653000000000001</v>
      </c>
      <c r="AE42" s="123">
        <v>0.64693299999999998</v>
      </c>
      <c r="AF42">
        <v>0.36546699999999999</v>
      </c>
      <c r="AG42">
        <v>0.42036800000000002</v>
      </c>
      <c r="AH42">
        <v>0.29624600000000001</v>
      </c>
      <c r="AI42">
        <v>0.26638499999999998</v>
      </c>
      <c r="AJ42" s="123">
        <v>0.129271</v>
      </c>
      <c r="AK42" s="123">
        <v>0.32173800000000002</v>
      </c>
      <c r="AL42" s="123">
        <v>0.400918</v>
      </c>
      <c r="AM42" s="123">
        <v>0.30101699999999998</v>
      </c>
      <c r="AN42">
        <v>0.62441400000000002</v>
      </c>
      <c r="AO42">
        <v>0.55959499999999995</v>
      </c>
      <c r="AP42">
        <v>0.72790200000000005</v>
      </c>
      <c r="AQ42">
        <v>0.77626399999999995</v>
      </c>
    </row>
    <row r="43" spans="1:43" x14ac:dyDescent="0.25">
      <c r="A43" s="1" t="s">
        <v>8</v>
      </c>
      <c r="B43">
        <v>1.288527</v>
      </c>
      <c r="C43">
        <v>1.3132772500000001</v>
      </c>
      <c r="D43">
        <v>1.3950340000000001</v>
      </c>
      <c r="E43" s="3">
        <v>1.3011200000000001</v>
      </c>
      <c r="F43" s="3">
        <v>1.3753252499999999</v>
      </c>
      <c r="G43" s="3">
        <v>1.354644</v>
      </c>
      <c r="H43" s="4">
        <v>0.75685150000000001</v>
      </c>
      <c r="I43" s="4">
        <v>0.94649779999999994</v>
      </c>
      <c r="J43" s="4">
        <v>1.2521074999999999</v>
      </c>
      <c r="K43" s="4">
        <v>1.1975849999999999</v>
      </c>
      <c r="L43" s="3">
        <v>1.4399709999999999</v>
      </c>
      <c r="M43" s="3">
        <v>1.3076894999999999</v>
      </c>
      <c r="N43" s="3">
        <v>1.4337394999999999</v>
      </c>
      <c r="O43" s="3">
        <v>1.530443</v>
      </c>
      <c r="P43" s="79">
        <v>1.14223125</v>
      </c>
      <c r="Q43" s="79">
        <v>1.3019375000000002</v>
      </c>
      <c r="R43" s="79">
        <v>1.340829</v>
      </c>
      <c r="S43" s="79">
        <v>1.1761765</v>
      </c>
      <c r="T43" s="3">
        <v>1.198914</v>
      </c>
      <c r="U43" s="3">
        <v>1.379615</v>
      </c>
      <c r="V43" s="3">
        <v>1.5211535</v>
      </c>
      <c r="W43" s="3">
        <v>1.4466749999999999</v>
      </c>
      <c r="X43">
        <v>1.5338799999999999</v>
      </c>
      <c r="Y43">
        <v>1.0299207500000001</v>
      </c>
      <c r="Z43">
        <v>1.1241194999999999</v>
      </c>
      <c r="AA43">
        <v>0.66260399999999997</v>
      </c>
      <c r="AB43" s="123">
        <v>1.51286075</v>
      </c>
      <c r="AC43" s="123">
        <v>1.5895472500000001</v>
      </c>
      <c r="AD43" s="123">
        <v>1.587539</v>
      </c>
      <c r="AE43" s="123">
        <v>1.3364045</v>
      </c>
      <c r="AF43">
        <v>1.379389</v>
      </c>
      <c r="AG43">
        <v>1.318449</v>
      </c>
      <c r="AH43">
        <v>1.30287</v>
      </c>
      <c r="AI43">
        <v>1.2872185</v>
      </c>
      <c r="AJ43" s="123">
        <v>1.4883789999999999</v>
      </c>
      <c r="AK43" s="123">
        <v>1.311015</v>
      </c>
      <c r="AL43" s="123">
        <v>1.2866394999999999</v>
      </c>
      <c r="AM43" s="123">
        <v>1.0726945000000001</v>
      </c>
      <c r="AN43">
        <v>0.73322050000000005</v>
      </c>
      <c r="AO43">
        <v>0.87406134000000002</v>
      </c>
      <c r="AP43">
        <v>0.69140199999999996</v>
      </c>
      <c r="AQ43">
        <v>0.47338150000000001</v>
      </c>
    </row>
    <row r="44" spans="1:43" x14ac:dyDescent="0.25">
      <c r="A44" s="1" t="s">
        <v>9</v>
      </c>
      <c r="B44">
        <v>-0.99999970000000005</v>
      </c>
      <c r="C44">
        <v>-0.99393900000000002</v>
      </c>
      <c r="D44">
        <v>-0.99999700000000002</v>
      </c>
      <c r="E44" s="3">
        <v>-0.99999700000000002</v>
      </c>
      <c r="F44" s="3">
        <v>-0.99999700000000002</v>
      </c>
      <c r="G44" s="3">
        <v>-0.99999700000000002</v>
      </c>
      <c r="H44" s="4">
        <v>-0.99633799999999995</v>
      </c>
      <c r="I44" s="4">
        <v>-0.99925399999999998</v>
      </c>
      <c r="J44" s="4">
        <v>-0.99999700000000002</v>
      </c>
      <c r="K44" s="4">
        <v>-0.99999700000000002</v>
      </c>
      <c r="L44" s="3">
        <v>-0.99999700000000002</v>
      </c>
      <c r="M44" s="3">
        <v>-0.99999700000000002</v>
      </c>
      <c r="N44" s="3">
        <v>-0.99999700000000002</v>
      </c>
      <c r="O44" s="3">
        <v>-0.99999970000000005</v>
      </c>
      <c r="P44" s="79">
        <v>-0.99935499999999999</v>
      </c>
      <c r="Q44" s="79">
        <v>-0.99999700000000002</v>
      </c>
      <c r="R44" s="79">
        <v>-0.99999700000000002</v>
      </c>
      <c r="S44" s="79">
        <v>-0.99999700000000002</v>
      </c>
      <c r="T44" s="3">
        <v>-0.99999700000000002</v>
      </c>
      <c r="U44" s="3">
        <v>-0.99999700000000002</v>
      </c>
      <c r="V44" s="3">
        <v>-0.99999700000000002</v>
      </c>
      <c r="W44" s="3">
        <v>-0.99999700000000002</v>
      </c>
      <c r="X44">
        <v>-0.99999700000000002</v>
      </c>
      <c r="Y44">
        <v>-0.99999700000000002</v>
      </c>
      <c r="Z44">
        <v>-0.99999700000000002</v>
      </c>
      <c r="AA44">
        <v>-0.99998600000000004</v>
      </c>
      <c r="AB44" s="123">
        <v>-0.99997000000000003</v>
      </c>
      <c r="AC44" s="123">
        <v>-0.99999700000000002</v>
      </c>
      <c r="AD44" s="123">
        <v>-0.99999700000000002</v>
      </c>
      <c r="AE44" s="123">
        <v>-0.99997000000000003</v>
      </c>
      <c r="AF44">
        <v>-0.99987999999999999</v>
      </c>
      <c r="AG44">
        <v>-0.99968800000000002</v>
      </c>
      <c r="AH44">
        <v>-0.99999700000000002</v>
      </c>
      <c r="AI44">
        <v>-0.99958199999999997</v>
      </c>
      <c r="AJ44" s="123">
        <v>-0.99999700000000002</v>
      </c>
      <c r="AK44" s="123">
        <v>-0.99999700000000002</v>
      </c>
      <c r="AL44" s="123">
        <v>-0.99980599999999997</v>
      </c>
      <c r="AM44" s="123">
        <v>-0.99999700000000002</v>
      </c>
      <c r="AN44">
        <v>-0.99966100000000002</v>
      </c>
      <c r="AO44">
        <v>-0.99940499999999999</v>
      </c>
      <c r="AP44">
        <v>-0.99991699999999994</v>
      </c>
      <c r="AQ44">
        <v>-0.98893299999999995</v>
      </c>
    </row>
    <row r="45" spans="1:43" x14ac:dyDescent="0.25">
      <c r="A45" s="1" t="s">
        <v>10</v>
      </c>
      <c r="B45">
        <v>1</v>
      </c>
      <c r="C45">
        <v>0.99661900000000003</v>
      </c>
      <c r="D45">
        <v>1</v>
      </c>
      <c r="E45" s="3">
        <v>1</v>
      </c>
      <c r="F45" s="3">
        <v>1</v>
      </c>
      <c r="G45" s="3">
        <v>1</v>
      </c>
      <c r="H45" s="4">
        <v>0.99950700000000003</v>
      </c>
      <c r="I45" s="4">
        <v>1</v>
      </c>
      <c r="J45" s="4">
        <v>1</v>
      </c>
      <c r="K45" s="4">
        <v>1</v>
      </c>
      <c r="L45" s="3">
        <v>1</v>
      </c>
      <c r="M45" s="3">
        <v>1</v>
      </c>
      <c r="N45" s="3">
        <v>1</v>
      </c>
      <c r="O45" s="3">
        <v>1</v>
      </c>
      <c r="P45" s="79">
        <v>1</v>
      </c>
      <c r="Q45" s="79">
        <v>1</v>
      </c>
      <c r="R45" s="79">
        <v>1</v>
      </c>
      <c r="S45" s="79">
        <v>1</v>
      </c>
      <c r="T45" s="3">
        <v>1</v>
      </c>
      <c r="U45" s="3">
        <v>1</v>
      </c>
      <c r="V45" s="3">
        <v>1</v>
      </c>
      <c r="W45" s="3">
        <v>1</v>
      </c>
      <c r="X45">
        <v>1</v>
      </c>
      <c r="Y45">
        <v>1</v>
      </c>
      <c r="Z45">
        <v>1</v>
      </c>
      <c r="AA45">
        <v>1</v>
      </c>
      <c r="AB45" s="123">
        <v>1</v>
      </c>
      <c r="AC45" s="123">
        <v>1</v>
      </c>
      <c r="AD45" s="123">
        <v>1</v>
      </c>
      <c r="AE45" s="123">
        <v>1</v>
      </c>
      <c r="AF45">
        <v>1</v>
      </c>
      <c r="AG45">
        <v>1</v>
      </c>
      <c r="AH45">
        <v>1</v>
      </c>
      <c r="AI45">
        <v>1</v>
      </c>
      <c r="AJ45" s="123">
        <v>1</v>
      </c>
      <c r="AK45" s="123">
        <v>1</v>
      </c>
      <c r="AL45" s="123">
        <v>1</v>
      </c>
      <c r="AM45" s="123">
        <v>1</v>
      </c>
      <c r="AN45">
        <v>0.99983100000000003</v>
      </c>
      <c r="AO45">
        <v>1</v>
      </c>
      <c r="AP45">
        <v>1</v>
      </c>
      <c r="AQ45">
        <v>0.99987000000000004</v>
      </c>
    </row>
    <row r="46" spans="1:43" x14ac:dyDescent="0.25">
      <c r="A46" s="17"/>
      <c r="B46" s="5"/>
      <c r="E46" s="6"/>
      <c r="H46" s="5"/>
      <c r="I46" s="4"/>
      <c r="J46" s="4"/>
      <c r="K46" s="4"/>
      <c r="L46" s="6"/>
      <c r="M46" s="6"/>
      <c r="P46" s="72"/>
      <c r="Q46" s="72"/>
      <c r="R46" s="72"/>
      <c r="S46" s="72"/>
      <c r="T46" s="6"/>
    </row>
    <row r="47" spans="1:43" x14ac:dyDescent="0.25">
      <c r="H47" s="4"/>
      <c r="I47" s="4"/>
      <c r="J47" s="4"/>
      <c r="K47" s="4"/>
      <c r="P47" s="72"/>
      <c r="Q47" s="72"/>
      <c r="R47" s="72"/>
      <c r="S47" s="72"/>
    </row>
    <row r="48" spans="1:43" s="2" customFormat="1" x14ac:dyDescent="0.25">
      <c r="A48" s="2" t="s">
        <v>123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74"/>
      <c r="Q48" s="74"/>
      <c r="R48" s="74"/>
      <c r="S48" s="74"/>
      <c r="T48" s="16"/>
      <c r="U48" s="16"/>
      <c r="V48" s="16"/>
      <c r="W48" s="16"/>
    </row>
    <row r="49" spans="1:48" x14ac:dyDescent="0.25">
      <c r="A49" s="21" t="str">
        <f>"2049 (Rocky Mountain Foothill Limber Pine-Juniper Woodland)"</f>
        <v>2049 (Rocky Mountain Foothill Limber Pine-Juniper Woodland)</v>
      </c>
      <c r="B49" s="23">
        <v>4</v>
      </c>
      <c r="C49" s="23">
        <v>0</v>
      </c>
      <c r="D49" s="23">
        <v>1</v>
      </c>
      <c r="E49" s="24">
        <v>2</v>
      </c>
      <c r="F49" s="24">
        <v>3</v>
      </c>
      <c r="G49" s="24">
        <v>0</v>
      </c>
      <c r="H49" s="25">
        <v>0</v>
      </c>
      <c r="I49" s="25">
        <v>0</v>
      </c>
      <c r="J49" s="25">
        <v>0</v>
      </c>
      <c r="K49" s="25">
        <v>0</v>
      </c>
      <c r="L49" s="24">
        <v>0</v>
      </c>
      <c r="M49" s="24">
        <v>0</v>
      </c>
      <c r="N49" s="24">
        <v>0</v>
      </c>
      <c r="O49" s="24">
        <v>0</v>
      </c>
      <c r="P49" s="25">
        <v>0</v>
      </c>
      <c r="Q49" s="25">
        <v>0</v>
      </c>
      <c r="R49" s="25">
        <v>0</v>
      </c>
      <c r="S49" s="25">
        <v>0</v>
      </c>
      <c r="T49" s="24">
        <v>0</v>
      </c>
      <c r="U49" s="24">
        <v>0</v>
      </c>
      <c r="V49" s="24">
        <v>0</v>
      </c>
      <c r="W49" s="24">
        <v>0</v>
      </c>
      <c r="X49" s="25">
        <v>0</v>
      </c>
      <c r="Y49" s="25">
        <v>0</v>
      </c>
      <c r="Z49" s="25">
        <v>0</v>
      </c>
      <c r="AA49" s="25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0</v>
      </c>
      <c r="AG49" s="25">
        <v>0</v>
      </c>
      <c r="AH49" s="25">
        <v>0</v>
      </c>
      <c r="AI49" s="25">
        <v>0</v>
      </c>
      <c r="AJ49" s="24">
        <v>0</v>
      </c>
      <c r="AK49" s="24">
        <v>0</v>
      </c>
      <c r="AL49" s="24">
        <v>0</v>
      </c>
      <c r="AM49" s="24">
        <v>0</v>
      </c>
      <c r="AN49" s="25">
        <v>0</v>
      </c>
      <c r="AO49" s="25">
        <v>0</v>
      </c>
      <c r="AP49" s="25">
        <v>0</v>
      </c>
      <c r="AQ49" s="25">
        <v>0</v>
      </c>
    </row>
    <row r="50" spans="1:48" x14ac:dyDescent="0.25">
      <c r="A50" s="10" t="s">
        <v>39</v>
      </c>
      <c r="B50" s="23">
        <v>384</v>
      </c>
      <c r="C50" s="23">
        <v>2</v>
      </c>
      <c r="D50" s="23">
        <v>833</v>
      </c>
      <c r="E50" s="24">
        <v>261</v>
      </c>
      <c r="F50" s="24">
        <v>626</v>
      </c>
      <c r="G50" s="24">
        <v>333</v>
      </c>
      <c r="H50" s="26">
        <v>0</v>
      </c>
      <c r="I50" s="26">
        <v>6</v>
      </c>
      <c r="J50" s="26">
        <v>0</v>
      </c>
      <c r="K50" s="26">
        <v>0</v>
      </c>
      <c r="L50" s="27">
        <v>1</v>
      </c>
      <c r="M50" s="27">
        <v>0</v>
      </c>
      <c r="N50" s="27">
        <v>2</v>
      </c>
      <c r="O50" s="27">
        <v>1</v>
      </c>
      <c r="P50" s="76">
        <v>7</v>
      </c>
      <c r="Q50" s="76">
        <v>28</v>
      </c>
      <c r="R50" s="76">
        <v>90</v>
      </c>
      <c r="S50" s="76">
        <v>195</v>
      </c>
      <c r="T50" s="24">
        <v>0</v>
      </c>
      <c r="U50" s="24">
        <v>0</v>
      </c>
      <c r="V50" s="24">
        <v>0</v>
      </c>
      <c r="W50" s="24">
        <v>0</v>
      </c>
      <c r="X50" s="25">
        <v>33</v>
      </c>
      <c r="Y50" s="25">
        <v>3</v>
      </c>
      <c r="Z50" s="25">
        <v>5</v>
      </c>
      <c r="AA50" s="25">
        <v>3</v>
      </c>
      <c r="AB50" s="3">
        <v>182</v>
      </c>
      <c r="AC50" s="3">
        <v>98</v>
      </c>
      <c r="AD50" s="3">
        <v>82</v>
      </c>
      <c r="AE50" s="3">
        <v>65</v>
      </c>
      <c r="AF50" s="4">
        <v>5</v>
      </c>
      <c r="AG50" s="4">
        <v>3</v>
      </c>
      <c r="AH50" s="4">
        <v>11</v>
      </c>
      <c r="AI50" s="4">
        <v>7</v>
      </c>
      <c r="AJ50" s="3">
        <v>6</v>
      </c>
      <c r="AK50" s="3">
        <v>0</v>
      </c>
      <c r="AL50" s="3">
        <v>0</v>
      </c>
      <c r="AM50" s="3">
        <v>1</v>
      </c>
      <c r="AN50" s="4">
        <v>12</v>
      </c>
      <c r="AO50" s="4">
        <v>43</v>
      </c>
      <c r="AP50" s="4">
        <v>45</v>
      </c>
      <c r="AQ50" s="4">
        <v>16</v>
      </c>
      <c r="AV50" s="80"/>
    </row>
    <row r="51" spans="1:48" x14ac:dyDescent="0.25">
      <c r="A51" s="10" t="s">
        <v>40</v>
      </c>
      <c r="B51" s="23">
        <v>317</v>
      </c>
      <c r="C51" s="23">
        <v>9</v>
      </c>
      <c r="D51" s="23">
        <v>1165</v>
      </c>
      <c r="E51" s="24">
        <v>235</v>
      </c>
      <c r="F51" s="24">
        <v>726</v>
      </c>
      <c r="G51" s="24">
        <v>533</v>
      </c>
      <c r="H51" s="26">
        <v>16</v>
      </c>
      <c r="I51" s="26">
        <v>71</v>
      </c>
      <c r="J51" s="26">
        <v>9</v>
      </c>
      <c r="K51" s="26">
        <v>1</v>
      </c>
      <c r="L51" s="27">
        <v>832</v>
      </c>
      <c r="M51" s="27">
        <v>647</v>
      </c>
      <c r="N51" s="27">
        <v>1216</v>
      </c>
      <c r="O51" s="27">
        <v>880</v>
      </c>
      <c r="P51" s="76">
        <v>34</v>
      </c>
      <c r="Q51" s="76">
        <v>163</v>
      </c>
      <c r="R51" s="76">
        <v>243</v>
      </c>
      <c r="S51" s="76">
        <v>277</v>
      </c>
      <c r="T51" s="24">
        <v>121</v>
      </c>
      <c r="U51" s="24">
        <v>137</v>
      </c>
      <c r="V51" s="24">
        <v>107</v>
      </c>
      <c r="W51" s="24">
        <v>57</v>
      </c>
      <c r="X51" s="25">
        <v>190</v>
      </c>
      <c r="Y51" s="25">
        <v>91</v>
      </c>
      <c r="Z51" s="25">
        <v>139</v>
      </c>
      <c r="AA51" s="25">
        <v>218</v>
      </c>
      <c r="AB51" s="3">
        <v>310</v>
      </c>
      <c r="AC51" s="3">
        <v>147</v>
      </c>
      <c r="AD51" s="3">
        <v>102</v>
      </c>
      <c r="AE51" s="3">
        <v>45</v>
      </c>
      <c r="AF51" s="4">
        <v>170</v>
      </c>
      <c r="AG51" s="4">
        <v>76</v>
      </c>
      <c r="AH51" s="4">
        <v>160</v>
      </c>
      <c r="AI51" s="4">
        <v>141</v>
      </c>
      <c r="AJ51" s="3">
        <v>501</v>
      </c>
      <c r="AK51" s="3">
        <v>727</v>
      </c>
      <c r="AL51" s="3">
        <v>580</v>
      </c>
      <c r="AM51" s="3">
        <v>141</v>
      </c>
      <c r="AN51" s="4">
        <v>114</v>
      </c>
      <c r="AO51" s="4">
        <v>182</v>
      </c>
      <c r="AP51" s="4">
        <v>200</v>
      </c>
      <c r="AQ51" s="4">
        <v>128</v>
      </c>
      <c r="AV51" s="80"/>
    </row>
    <row r="52" spans="1:48" x14ac:dyDescent="0.25">
      <c r="A52" s="10" t="s">
        <v>41</v>
      </c>
      <c r="B52" s="23">
        <v>53</v>
      </c>
      <c r="C52" s="23">
        <v>3</v>
      </c>
      <c r="D52" s="23">
        <v>408</v>
      </c>
      <c r="E52" s="24">
        <v>32</v>
      </c>
      <c r="F52" s="24">
        <v>249</v>
      </c>
      <c r="G52" s="24">
        <v>186</v>
      </c>
      <c r="H52" s="26">
        <v>1</v>
      </c>
      <c r="I52" s="26">
        <v>7</v>
      </c>
      <c r="J52" s="26">
        <v>1</v>
      </c>
      <c r="K52" s="26">
        <v>1</v>
      </c>
      <c r="L52" s="27">
        <v>9</v>
      </c>
      <c r="M52" s="27">
        <v>15</v>
      </c>
      <c r="N52" s="27">
        <v>33</v>
      </c>
      <c r="O52" s="27">
        <v>43</v>
      </c>
      <c r="P52" s="76">
        <v>1</v>
      </c>
      <c r="Q52" s="76">
        <v>6</v>
      </c>
      <c r="R52" s="76">
        <v>7</v>
      </c>
      <c r="S52" s="76">
        <v>6</v>
      </c>
      <c r="T52" s="24">
        <v>3</v>
      </c>
      <c r="U52" s="24">
        <v>0</v>
      </c>
      <c r="V52" s="24">
        <v>0</v>
      </c>
      <c r="W52" s="24">
        <v>0</v>
      </c>
      <c r="X52" s="25">
        <v>1</v>
      </c>
      <c r="Y52" s="4">
        <v>0</v>
      </c>
      <c r="Z52" s="4">
        <v>0</v>
      </c>
      <c r="AA52" s="4">
        <v>0</v>
      </c>
      <c r="AB52" s="3">
        <v>45</v>
      </c>
      <c r="AC52" s="3">
        <v>26</v>
      </c>
      <c r="AD52" s="3">
        <v>10</v>
      </c>
      <c r="AE52" s="3">
        <v>2</v>
      </c>
      <c r="AF52" s="4">
        <v>11</v>
      </c>
      <c r="AG52" s="4">
        <v>0</v>
      </c>
      <c r="AH52" s="4">
        <v>5</v>
      </c>
      <c r="AI52" s="4">
        <v>2</v>
      </c>
      <c r="AJ52" s="3">
        <v>48</v>
      </c>
      <c r="AK52" s="3">
        <v>69</v>
      </c>
      <c r="AL52" s="3">
        <v>137</v>
      </c>
      <c r="AM52" s="3">
        <v>82</v>
      </c>
      <c r="AN52" s="4">
        <v>0</v>
      </c>
      <c r="AO52" s="4">
        <v>2</v>
      </c>
      <c r="AP52" s="4">
        <v>5</v>
      </c>
      <c r="AQ52" s="4">
        <v>2</v>
      </c>
      <c r="AV52" s="80"/>
    </row>
    <row r="53" spans="1:48" x14ac:dyDescent="0.25">
      <c r="A53" s="10" t="s">
        <v>42</v>
      </c>
      <c r="B53" s="23">
        <v>418</v>
      </c>
      <c r="C53" s="23">
        <v>21</v>
      </c>
      <c r="D53" s="23">
        <v>704</v>
      </c>
      <c r="E53" s="24">
        <v>427</v>
      </c>
      <c r="F53" s="24">
        <v>638</v>
      </c>
      <c r="G53" s="24">
        <v>80</v>
      </c>
      <c r="H53" s="26">
        <v>51</v>
      </c>
      <c r="I53" s="26">
        <v>308</v>
      </c>
      <c r="J53" s="26">
        <v>49</v>
      </c>
      <c r="K53" s="26">
        <v>3</v>
      </c>
      <c r="L53" s="27">
        <v>405</v>
      </c>
      <c r="M53" s="27">
        <v>251</v>
      </c>
      <c r="N53" s="27">
        <v>389</v>
      </c>
      <c r="O53" s="27">
        <v>246</v>
      </c>
      <c r="P53" s="76">
        <v>107</v>
      </c>
      <c r="Q53" s="76">
        <v>328</v>
      </c>
      <c r="R53" s="76">
        <v>351</v>
      </c>
      <c r="S53" s="76">
        <v>249</v>
      </c>
      <c r="T53" s="24">
        <v>222</v>
      </c>
      <c r="U53" s="24">
        <v>448</v>
      </c>
      <c r="V53" s="24">
        <v>346</v>
      </c>
      <c r="W53" s="24">
        <v>195</v>
      </c>
      <c r="X53" s="25">
        <v>564</v>
      </c>
      <c r="Y53" s="25">
        <v>365</v>
      </c>
      <c r="Z53" s="25">
        <v>508</v>
      </c>
      <c r="AA53" s="25">
        <v>652</v>
      </c>
      <c r="AB53" s="3">
        <v>373</v>
      </c>
      <c r="AC53" s="3">
        <v>159</v>
      </c>
      <c r="AD53" s="3">
        <v>104</v>
      </c>
      <c r="AE53" s="3">
        <v>25</v>
      </c>
      <c r="AF53" s="4">
        <v>437</v>
      </c>
      <c r="AG53" s="4">
        <v>201</v>
      </c>
      <c r="AH53" s="4">
        <v>283</v>
      </c>
      <c r="AI53" s="4">
        <v>213</v>
      </c>
      <c r="AJ53" s="3">
        <v>60</v>
      </c>
      <c r="AK53" s="3">
        <v>227</v>
      </c>
      <c r="AL53" s="3">
        <v>186</v>
      </c>
      <c r="AM53" s="3">
        <v>35</v>
      </c>
      <c r="AN53" s="4">
        <v>233</v>
      </c>
      <c r="AO53" s="4">
        <v>617</v>
      </c>
      <c r="AP53" s="4">
        <v>496</v>
      </c>
      <c r="AQ53" s="4">
        <v>205</v>
      </c>
      <c r="AV53" s="80"/>
    </row>
    <row r="54" spans="1:48" x14ac:dyDescent="0.25">
      <c r="A54" s="10" t="s">
        <v>43</v>
      </c>
      <c r="B54" s="23">
        <v>17</v>
      </c>
      <c r="C54" s="23">
        <v>4</v>
      </c>
      <c r="D54" s="23">
        <v>85</v>
      </c>
      <c r="E54" s="24">
        <v>14</v>
      </c>
      <c r="F54" s="24">
        <v>47</v>
      </c>
      <c r="G54" s="24">
        <v>45</v>
      </c>
      <c r="H54" s="26">
        <v>0</v>
      </c>
      <c r="I54" s="26">
        <v>0</v>
      </c>
      <c r="J54" s="26">
        <v>0</v>
      </c>
      <c r="K54" s="26">
        <v>0</v>
      </c>
      <c r="L54" s="27">
        <v>5</v>
      </c>
      <c r="M54" s="27">
        <v>1</v>
      </c>
      <c r="N54" s="27">
        <v>2</v>
      </c>
      <c r="O54" s="27">
        <v>2</v>
      </c>
      <c r="P54" s="76">
        <v>2</v>
      </c>
      <c r="Q54" s="76">
        <v>3</v>
      </c>
      <c r="R54" s="76">
        <v>5</v>
      </c>
      <c r="S54" s="76">
        <v>13</v>
      </c>
      <c r="T54" s="24">
        <v>0</v>
      </c>
      <c r="U54" s="24">
        <v>0</v>
      </c>
      <c r="V54" s="24">
        <v>1</v>
      </c>
      <c r="W54" s="24">
        <v>0</v>
      </c>
      <c r="X54" s="25">
        <v>1</v>
      </c>
      <c r="Y54" s="4">
        <v>0</v>
      </c>
      <c r="Z54" s="25">
        <v>2</v>
      </c>
      <c r="AA54" s="25">
        <v>1</v>
      </c>
      <c r="AB54" s="3">
        <v>2</v>
      </c>
      <c r="AC54" s="3">
        <v>1</v>
      </c>
      <c r="AD54" s="3">
        <v>0</v>
      </c>
      <c r="AE54" s="3">
        <v>1</v>
      </c>
      <c r="AF54" s="4">
        <v>0</v>
      </c>
      <c r="AG54" s="4">
        <v>0</v>
      </c>
      <c r="AH54" s="4">
        <v>0</v>
      </c>
      <c r="AI54" s="4">
        <v>4</v>
      </c>
      <c r="AJ54" s="3">
        <v>0</v>
      </c>
      <c r="AK54" s="3">
        <v>0</v>
      </c>
      <c r="AL54" s="3">
        <v>0</v>
      </c>
      <c r="AM54" s="3">
        <v>0</v>
      </c>
      <c r="AN54" s="4">
        <v>0</v>
      </c>
      <c r="AO54" s="4">
        <v>0</v>
      </c>
      <c r="AP54" s="4">
        <v>1</v>
      </c>
      <c r="AQ54" s="4">
        <v>1</v>
      </c>
      <c r="AV54" s="80"/>
    </row>
    <row r="55" spans="1:48" x14ac:dyDescent="0.25">
      <c r="A55" s="10" t="s">
        <v>44</v>
      </c>
      <c r="B55" s="23">
        <v>219</v>
      </c>
      <c r="C55" s="23">
        <v>5</v>
      </c>
      <c r="D55" s="23">
        <v>96</v>
      </c>
      <c r="E55" s="24">
        <v>188</v>
      </c>
      <c r="F55" s="24">
        <v>128</v>
      </c>
      <c r="G55" s="24">
        <v>4</v>
      </c>
      <c r="H55" s="26">
        <v>12</v>
      </c>
      <c r="I55" s="26">
        <v>22</v>
      </c>
      <c r="J55" s="26">
        <v>3</v>
      </c>
      <c r="K55" s="26">
        <v>0</v>
      </c>
      <c r="L55" s="27">
        <v>15</v>
      </c>
      <c r="M55" s="27">
        <v>16</v>
      </c>
      <c r="N55" s="27">
        <v>33</v>
      </c>
      <c r="O55" s="27">
        <v>38</v>
      </c>
      <c r="P55" s="76">
        <v>26</v>
      </c>
      <c r="Q55" s="76">
        <v>20</v>
      </c>
      <c r="R55" s="76">
        <v>24</v>
      </c>
      <c r="S55" s="76">
        <v>13</v>
      </c>
      <c r="T55" s="24">
        <v>71</v>
      </c>
      <c r="U55" s="24">
        <v>165</v>
      </c>
      <c r="V55" s="24">
        <v>132</v>
      </c>
      <c r="W55" s="24">
        <v>41</v>
      </c>
      <c r="X55" s="25">
        <v>31</v>
      </c>
      <c r="Y55" s="25">
        <v>17</v>
      </c>
      <c r="Z55" s="25">
        <v>15</v>
      </c>
      <c r="AA55" s="25">
        <v>13</v>
      </c>
      <c r="AB55" s="3">
        <v>51</v>
      </c>
      <c r="AC55" s="3">
        <v>28</v>
      </c>
      <c r="AD55" s="3">
        <v>23</v>
      </c>
      <c r="AE55" s="3">
        <v>16</v>
      </c>
      <c r="AF55" s="4">
        <v>22</v>
      </c>
      <c r="AG55" s="4">
        <v>20</v>
      </c>
      <c r="AH55" s="4">
        <v>23</v>
      </c>
      <c r="AI55" s="4">
        <v>16</v>
      </c>
      <c r="AJ55" s="3">
        <v>1</v>
      </c>
      <c r="AK55" s="3">
        <v>7</v>
      </c>
      <c r="AL55" s="3">
        <v>10</v>
      </c>
      <c r="AM55" s="3">
        <v>6</v>
      </c>
      <c r="AN55" s="4">
        <v>41</v>
      </c>
      <c r="AO55" s="4">
        <v>39</v>
      </c>
      <c r="AP55" s="4">
        <v>28</v>
      </c>
      <c r="AQ55" s="4">
        <v>7</v>
      </c>
      <c r="AV55" s="80"/>
    </row>
    <row r="56" spans="1:48" x14ac:dyDescent="0.25">
      <c r="A56" s="10" t="s">
        <v>45</v>
      </c>
      <c r="B56" s="23">
        <v>0</v>
      </c>
      <c r="C56" s="23">
        <v>0</v>
      </c>
      <c r="D56" s="23">
        <v>0</v>
      </c>
      <c r="E56" s="24">
        <v>0</v>
      </c>
      <c r="F56" s="24">
        <v>0</v>
      </c>
      <c r="G56" s="24">
        <v>0</v>
      </c>
      <c r="H56" s="26">
        <v>0</v>
      </c>
      <c r="I56" s="26">
        <v>0</v>
      </c>
      <c r="J56" s="26">
        <v>0</v>
      </c>
      <c r="K56" s="26">
        <v>0</v>
      </c>
      <c r="L56" s="27">
        <v>0</v>
      </c>
      <c r="M56" s="27">
        <v>0</v>
      </c>
      <c r="N56" s="27">
        <v>0</v>
      </c>
      <c r="O56" s="27">
        <v>0</v>
      </c>
      <c r="P56" s="76">
        <v>124</v>
      </c>
      <c r="Q56" s="76">
        <v>48</v>
      </c>
      <c r="R56" s="76">
        <v>3</v>
      </c>
      <c r="S56" s="76">
        <v>0</v>
      </c>
      <c r="T56" s="24">
        <v>0</v>
      </c>
      <c r="U56" s="24">
        <v>1</v>
      </c>
      <c r="V56" s="24">
        <v>0</v>
      </c>
      <c r="W56" s="24">
        <v>0</v>
      </c>
      <c r="X56" s="25">
        <v>24</v>
      </c>
      <c r="Y56" s="25">
        <v>6</v>
      </c>
      <c r="Z56" s="4">
        <v>0</v>
      </c>
      <c r="AA56" s="4">
        <v>0</v>
      </c>
      <c r="AB56" s="3">
        <v>0</v>
      </c>
      <c r="AC56" s="3">
        <v>0</v>
      </c>
      <c r="AD56" s="3">
        <v>0</v>
      </c>
      <c r="AE56" s="3">
        <v>0</v>
      </c>
      <c r="AF56" s="4">
        <v>0</v>
      </c>
      <c r="AG56" s="4">
        <v>0</v>
      </c>
      <c r="AH56" s="4">
        <v>0</v>
      </c>
      <c r="AI56" s="4">
        <v>0</v>
      </c>
      <c r="AJ56" s="3">
        <v>13</v>
      </c>
      <c r="AK56" s="3">
        <v>16</v>
      </c>
      <c r="AL56" s="3">
        <v>4</v>
      </c>
      <c r="AM56" s="3">
        <v>0</v>
      </c>
      <c r="AN56" s="4">
        <v>114</v>
      </c>
      <c r="AO56" s="4">
        <v>114</v>
      </c>
      <c r="AP56" s="4">
        <v>3</v>
      </c>
      <c r="AQ56" s="4">
        <v>0</v>
      </c>
      <c r="AV56" s="80"/>
    </row>
    <row r="57" spans="1:48" x14ac:dyDescent="0.25">
      <c r="A57" s="21" t="str">
        <f>"2086 (Rocky Mountain Lower Montane-Foothill Shrubland)"</f>
        <v>2086 (Rocky Mountain Lower Montane-Foothill Shrubland)</v>
      </c>
      <c r="B57" s="23">
        <v>75</v>
      </c>
      <c r="C57" s="23">
        <v>1</v>
      </c>
      <c r="D57" s="23">
        <v>6</v>
      </c>
      <c r="E57" s="24">
        <v>70</v>
      </c>
      <c r="F57" s="24">
        <v>12</v>
      </c>
      <c r="G57" s="24">
        <v>0</v>
      </c>
      <c r="H57" s="26">
        <v>2</v>
      </c>
      <c r="I57" s="26">
        <v>1</v>
      </c>
      <c r="J57" s="26">
        <v>0</v>
      </c>
      <c r="K57" s="26">
        <v>0</v>
      </c>
      <c r="L57" s="27">
        <v>0</v>
      </c>
      <c r="M57" s="27">
        <v>0</v>
      </c>
      <c r="N57" s="27">
        <v>0</v>
      </c>
      <c r="O57" s="27">
        <v>0</v>
      </c>
      <c r="P57" s="76">
        <v>40</v>
      </c>
      <c r="Q57" s="76">
        <v>38</v>
      </c>
      <c r="R57" s="76">
        <v>2</v>
      </c>
      <c r="S57" s="76">
        <v>0</v>
      </c>
      <c r="T57" s="24">
        <v>0</v>
      </c>
      <c r="U57" s="24">
        <v>0</v>
      </c>
      <c r="V57" s="24">
        <v>0</v>
      </c>
      <c r="W57" s="24">
        <v>0</v>
      </c>
      <c r="X57" s="25">
        <v>21</v>
      </c>
      <c r="Y57" s="25">
        <v>5</v>
      </c>
      <c r="Z57" s="25">
        <v>1</v>
      </c>
      <c r="AA57" s="4">
        <v>0</v>
      </c>
      <c r="AB57" s="3">
        <v>0</v>
      </c>
      <c r="AC57" s="3">
        <v>0</v>
      </c>
      <c r="AD57" s="3">
        <v>0</v>
      </c>
      <c r="AE57" s="3">
        <v>0</v>
      </c>
      <c r="AF57" s="4">
        <v>0</v>
      </c>
      <c r="AG57" s="4">
        <v>0</v>
      </c>
      <c r="AH57" s="4">
        <v>0</v>
      </c>
      <c r="AI57" s="4">
        <v>0</v>
      </c>
      <c r="AJ57" s="3">
        <v>0</v>
      </c>
      <c r="AK57" s="3">
        <v>2</v>
      </c>
      <c r="AL57" s="3">
        <v>0</v>
      </c>
      <c r="AM57" s="3">
        <v>0</v>
      </c>
      <c r="AN57" s="4">
        <v>53</v>
      </c>
      <c r="AO57" s="4">
        <v>62</v>
      </c>
      <c r="AP57" s="4">
        <v>2</v>
      </c>
      <c r="AQ57" s="4">
        <v>0</v>
      </c>
      <c r="AV57" s="80"/>
    </row>
    <row r="58" spans="1:48" x14ac:dyDescent="0.25">
      <c r="A58" s="21" t="str">
        <f>"2117 (Southern Rocky Mountain Ponderosa Pine Savanna)"</f>
        <v>2117 (Southern Rocky Mountain Ponderosa Pine Savanna)</v>
      </c>
      <c r="B58" s="23">
        <v>0</v>
      </c>
      <c r="C58" s="23">
        <v>0</v>
      </c>
      <c r="D58" s="23">
        <v>2</v>
      </c>
      <c r="E58" s="24">
        <v>0</v>
      </c>
      <c r="F58" s="24">
        <v>2</v>
      </c>
      <c r="G58" s="24">
        <v>0</v>
      </c>
      <c r="H58" s="26">
        <v>0</v>
      </c>
      <c r="I58" s="26">
        <v>19</v>
      </c>
      <c r="J58" s="26">
        <v>303</v>
      </c>
      <c r="K58" s="26">
        <v>489</v>
      </c>
      <c r="L58" s="27">
        <v>0</v>
      </c>
      <c r="M58" s="27">
        <v>1</v>
      </c>
      <c r="N58" s="27">
        <v>0</v>
      </c>
      <c r="O58" s="27">
        <v>0</v>
      </c>
      <c r="P58" s="81">
        <v>0</v>
      </c>
      <c r="Q58" s="81">
        <v>0</v>
      </c>
      <c r="R58" s="81">
        <v>0</v>
      </c>
      <c r="S58" s="81">
        <v>0</v>
      </c>
      <c r="T58" s="24">
        <v>0</v>
      </c>
      <c r="U58" s="24">
        <v>0</v>
      </c>
      <c r="V58" s="24">
        <v>0</v>
      </c>
      <c r="W58" s="24">
        <v>0</v>
      </c>
      <c r="X58" s="4">
        <v>0</v>
      </c>
      <c r="Y58" s="4">
        <v>0</v>
      </c>
      <c r="Z58" s="4">
        <v>0</v>
      </c>
      <c r="AA58" s="4">
        <v>0</v>
      </c>
      <c r="AB58" s="3">
        <v>0</v>
      </c>
      <c r="AC58" s="3">
        <v>0</v>
      </c>
      <c r="AD58" s="3">
        <v>0</v>
      </c>
      <c r="AE58" s="3">
        <v>0</v>
      </c>
      <c r="AF58" s="4">
        <v>3</v>
      </c>
      <c r="AG58" s="4">
        <v>2</v>
      </c>
      <c r="AH58" s="4">
        <v>0</v>
      </c>
      <c r="AI58" s="4">
        <v>0</v>
      </c>
      <c r="AJ58" s="3">
        <v>0</v>
      </c>
      <c r="AK58" s="3">
        <v>0</v>
      </c>
      <c r="AL58" s="3">
        <v>0</v>
      </c>
      <c r="AM58" s="3">
        <v>0</v>
      </c>
      <c r="AN58" s="4">
        <v>0</v>
      </c>
      <c r="AO58" s="4">
        <v>0</v>
      </c>
      <c r="AP58" s="4">
        <v>0</v>
      </c>
      <c r="AQ58" s="4">
        <v>0</v>
      </c>
    </row>
    <row r="59" spans="1:48" x14ac:dyDescent="0.25">
      <c r="A59" s="21" t="str">
        <f>"2135 (Inter-Mountain Basins Semi-Desert Grassland)"</f>
        <v>2135 (Inter-Mountain Basins Semi-Desert Grassland)</v>
      </c>
      <c r="B59" s="23">
        <v>3</v>
      </c>
      <c r="C59" s="23">
        <v>1</v>
      </c>
      <c r="D59" s="23">
        <v>85</v>
      </c>
      <c r="E59" s="24">
        <v>2</v>
      </c>
      <c r="F59" s="24">
        <v>31</v>
      </c>
      <c r="G59" s="24">
        <v>56</v>
      </c>
      <c r="H59" s="26">
        <v>0</v>
      </c>
      <c r="I59" s="26">
        <v>0</v>
      </c>
      <c r="J59" s="26">
        <v>0</v>
      </c>
      <c r="K59" s="26">
        <v>0</v>
      </c>
      <c r="L59" s="27">
        <v>56</v>
      </c>
      <c r="M59" s="27">
        <v>93</v>
      </c>
      <c r="N59" s="27">
        <v>326</v>
      </c>
      <c r="O59" s="27">
        <v>2026</v>
      </c>
      <c r="P59" s="81">
        <v>0</v>
      </c>
      <c r="Q59" s="81">
        <v>0</v>
      </c>
      <c r="R59" s="81">
        <v>0</v>
      </c>
      <c r="S59" s="81">
        <v>0</v>
      </c>
      <c r="T59" s="24">
        <v>0</v>
      </c>
      <c r="U59" s="24">
        <v>22</v>
      </c>
      <c r="V59" s="24">
        <v>41</v>
      </c>
      <c r="W59" s="24">
        <v>162</v>
      </c>
      <c r="X59" s="4">
        <v>0</v>
      </c>
      <c r="Y59" s="4">
        <v>0</v>
      </c>
      <c r="Z59" s="4">
        <v>0</v>
      </c>
      <c r="AA59" s="4">
        <v>0</v>
      </c>
      <c r="AB59" s="3">
        <v>37</v>
      </c>
      <c r="AC59" s="3">
        <v>27</v>
      </c>
      <c r="AD59" s="3">
        <v>32</v>
      </c>
      <c r="AE59" s="3">
        <v>43</v>
      </c>
      <c r="AF59" s="4">
        <v>21</v>
      </c>
      <c r="AG59" s="4">
        <v>19</v>
      </c>
      <c r="AH59" s="4">
        <v>70</v>
      </c>
      <c r="AI59" s="4">
        <v>316</v>
      </c>
      <c r="AJ59" s="3">
        <v>0</v>
      </c>
      <c r="AK59" s="3">
        <v>0</v>
      </c>
      <c r="AL59" s="3">
        <v>0</v>
      </c>
      <c r="AM59" s="3">
        <v>0</v>
      </c>
      <c r="AN59" s="4">
        <v>0</v>
      </c>
      <c r="AO59" s="4">
        <v>0</v>
      </c>
      <c r="AP59" s="4">
        <v>0</v>
      </c>
      <c r="AQ59" s="4">
        <v>0</v>
      </c>
    </row>
    <row r="60" spans="1:48" x14ac:dyDescent="0.25">
      <c r="A60" s="21" t="str">
        <f>"2139 (Northern Rocky Mountain Lower Montane-Foothill-Valley Grassland)"</f>
        <v>2139 (Northern Rocky Mountain Lower Montane-Foothill-Valley Grassland)</v>
      </c>
      <c r="B60" s="28">
        <v>0</v>
      </c>
      <c r="C60" s="28"/>
      <c r="D60" s="28">
        <v>0</v>
      </c>
      <c r="E60" s="30">
        <v>0</v>
      </c>
      <c r="F60" s="30">
        <v>0</v>
      </c>
      <c r="G60" s="30">
        <v>0</v>
      </c>
      <c r="H60" s="31">
        <v>0</v>
      </c>
      <c r="I60" s="31">
        <v>0</v>
      </c>
      <c r="J60" s="31">
        <v>0</v>
      </c>
      <c r="K60" s="31">
        <v>0</v>
      </c>
      <c r="L60" s="30">
        <v>0</v>
      </c>
      <c r="M60" s="30">
        <v>0</v>
      </c>
      <c r="N60" s="30">
        <v>0</v>
      </c>
      <c r="O60" s="30">
        <v>0</v>
      </c>
      <c r="P60" s="72"/>
      <c r="Q60" s="72"/>
      <c r="R60" s="72"/>
      <c r="S60" s="72"/>
      <c r="T60" s="30">
        <v>0</v>
      </c>
      <c r="U60" s="30">
        <v>0</v>
      </c>
      <c r="V60" s="30">
        <v>0</v>
      </c>
      <c r="W60" s="30">
        <v>0</v>
      </c>
      <c r="X60" s="4">
        <v>0</v>
      </c>
      <c r="Y60" s="4">
        <v>0</v>
      </c>
      <c r="Z60" s="4">
        <v>0</v>
      </c>
      <c r="AA60" s="4">
        <v>0</v>
      </c>
      <c r="AB60" s="3">
        <v>0</v>
      </c>
      <c r="AC60" s="3">
        <v>0</v>
      </c>
      <c r="AD60" s="3">
        <v>0</v>
      </c>
      <c r="AE60" s="3">
        <v>0</v>
      </c>
    </row>
    <row r="61" spans="1:48" x14ac:dyDescent="0.25">
      <c r="A61" s="17"/>
      <c r="B61" s="18"/>
      <c r="C61" s="15"/>
      <c r="D61" s="15"/>
      <c r="E61" s="19"/>
      <c r="F61" s="13"/>
      <c r="G61" s="13"/>
      <c r="H61" s="20"/>
      <c r="I61" s="14"/>
      <c r="J61" s="14"/>
      <c r="K61" s="14"/>
      <c r="L61" s="13"/>
      <c r="M61" s="13"/>
      <c r="N61" s="13"/>
      <c r="O61" s="13"/>
      <c r="P61" s="72"/>
      <c r="Q61" s="72"/>
      <c r="R61" s="72"/>
      <c r="S61" s="72"/>
      <c r="T61" s="22"/>
      <c r="U61" s="22"/>
      <c r="V61" s="22"/>
      <c r="W61" s="22"/>
      <c r="X61" s="4"/>
      <c r="Y61" s="4"/>
      <c r="Z61" s="4"/>
      <c r="AA61" s="4"/>
    </row>
    <row r="62" spans="1:48" x14ac:dyDescent="0.25">
      <c r="A62" s="10" t="s">
        <v>122</v>
      </c>
      <c r="B62" s="18"/>
      <c r="C62" s="15"/>
      <c r="D62" s="15"/>
      <c r="E62" s="19"/>
      <c r="F62" s="13"/>
      <c r="G62" s="13"/>
      <c r="H62" s="20"/>
      <c r="I62" s="14"/>
      <c r="J62" s="14"/>
      <c r="K62" s="14"/>
      <c r="L62" s="13"/>
      <c r="M62" s="13"/>
      <c r="N62" s="13"/>
      <c r="O62" s="13"/>
      <c r="P62" s="72"/>
      <c r="Q62" s="72"/>
      <c r="R62" s="72"/>
      <c r="S62" s="72"/>
      <c r="T62" s="22"/>
      <c r="U62" s="22"/>
      <c r="V62" s="22"/>
      <c r="W62" s="22"/>
      <c r="X62" s="4"/>
      <c r="Y62" s="4"/>
      <c r="Z62" s="4"/>
      <c r="AA62" s="4"/>
    </row>
    <row r="63" spans="1:48" x14ac:dyDescent="0.25">
      <c r="A63" s="10" t="s">
        <v>30</v>
      </c>
      <c r="B63" s="36">
        <f t="shared" ref="B63:W63" si="0">B49+B51+B52+B54+B55</f>
        <v>610</v>
      </c>
      <c r="C63" s="36">
        <f t="shared" si="0"/>
        <v>21</v>
      </c>
      <c r="D63" s="36">
        <f t="shared" si="0"/>
        <v>1755</v>
      </c>
      <c r="E63" s="38">
        <f t="shared" si="0"/>
        <v>471</v>
      </c>
      <c r="F63" s="38">
        <f t="shared" si="0"/>
        <v>1153</v>
      </c>
      <c r="G63" s="38">
        <f t="shared" si="0"/>
        <v>768</v>
      </c>
      <c r="H63" s="36">
        <f t="shared" si="0"/>
        <v>29</v>
      </c>
      <c r="I63" s="36">
        <f t="shared" si="0"/>
        <v>100</v>
      </c>
      <c r="J63" s="36">
        <f t="shared" si="0"/>
        <v>13</v>
      </c>
      <c r="K63" s="36">
        <f t="shared" si="0"/>
        <v>2</v>
      </c>
      <c r="L63" s="38">
        <f t="shared" si="0"/>
        <v>861</v>
      </c>
      <c r="M63" s="38">
        <f t="shared" si="0"/>
        <v>679</v>
      </c>
      <c r="N63" s="38">
        <f t="shared" si="0"/>
        <v>1284</v>
      </c>
      <c r="O63" s="38">
        <f t="shared" si="0"/>
        <v>963</v>
      </c>
      <c r="P63" s="70">
        <f>P49+P51+P52+P54+P55</f>
        <v>63</v>
      </c>
      <c r="Q63" s="70">
        <f>Q49+Q51+Q52+Q54+Q55</f>
        <v>192</v>
      </c>
      <c r="R63" s="70">
        <f>R49+R51+R52+R54+R55</f>
        <v>279</v>
      </c>
      <c r="S63" s="70">
        <f>S49+S51+S52+S54+S55</f>
        <v>309</v>
      </c>
      <c r="T63" s="38">
        <f t="shared" si="0"/>
        <v>195</v>
      </c>
      <c r="U63" s="38">
        <f t="shared" si="0"/>
        <v>302</v>
      </c>
      <c r="V63" s="38">
        <f t="shared" si="0"/>
        <v>240</v>
      </c>
      <c r="W63" s="38">
        <f t="shared" si="0"/>
        <v>98</v>
      </c>
      <c r="X63" s="70">
        <f t="shared" ref="X63:AE63" si="1">X49+X51+X52+X54+X55</f>
        <v>223</v>
      </c>
      <c r="Y63" s="70">
        <f t="shared" si="1"/>
        <v>108</v>
      </c>
      <c r="Z63" s="70">
        <f t="shared" si="1"/>
        <v>156</v>
      </c>
      <c r="AA63" s="70">
        <f t="shared" si="1"/>
        <v>232</v>
      </c>
      <c r="AB63" s="38">
        <f t="shared" si="1"/>
        <v>408</v>
      </c>
      <c r="AC63" s="38">
        <f t="shared" si="1"/>
        <v>202</v>
      </c>
      <c r="AD63" s="38">
        <f t="shared" si="1"/>
        <v>135</v>
      </c>
      <c r="AE63" s="38">
        <f t="shared" si="1"/>
        <v>64</v>
      </c>
      <c r="AF63" s="70">
        <f t="shared" ref="AF63:AJ63" si="2">AF49+AF51+AF52+AF54+AF55</f>
        <v>203</v>
      </c>
      <c r="AG63" s="70">
        <f t="shared" si="2"/>
        <v>96</v>
      </c>
      <c r="AH63" s="70">
        <f t="shared" si="2"/>
        <v>188</v>
      </c>
      <c r="AI63" s="70">
        <f t="shared" si="2"/>
        <v>163</v>
      </c>
      <c r="AJ63" s="38">
        <f t="shared" si="2"/>
        <v>550</v>
      </c>
      <c r="AK63" s="38">
        <f t="shared" ref="AK63:AQ63" si="3">AK49+AK51+AK52+AK54+AK55</f>
        <v>803</v>
      </c>
      <c r="AL63" s="38">
        <f t="shared" si="3"/>
        <v>727</v>
      </c>
      <c r="AM63" s="38">
        <f t="shared" si="3"/>
        <v>229</v>
      </c>
      <c r="AN63" s="70">
        <f t="shared" si="3"/>
        <v>155</v>
      </c>
      <c r="AO63" s="70">
        <f t="shared" si="3"/>
        <v>223</v>
      </c>
      <c r="AP63" s="70">
        <f t="shared" si="3"/>
        <v>234</v>
      </c>
      <c r="AQ63" s="70">
        <f t="shared" si="3"/>
        <v>138</v>
      </c>
    </row>
    <row r="64" spans="1:48" x14ac:dyDescent="0.25">
      <c r="A64" s="10" t="s">
        <v>31</v>
      </c>
      <c r="B64" s="36">
        <f t="shared" ref="B64:W64" si="4">B50</f>
        <v>384</v>
      </c>
      <c r="C64" s="36">
        <f t="shared" si="4"/>
        <v>2</v>
      </c>
      <c r="D64" s="36">
        <f t="shared" si="4"/>
        <v>833</v>
      </c>
      <c r="E64" s="38">
        <f t="shared" si="4"/>
        <v>261</v>
      </c>
      <c r="F64" s="38">
        <f t="shared" si="4"/>
        <v>626</v>
      </c>
      <c r="G64" s="38">
        <f t="shared" si="4"/>
        <v>333</v>
      </c>
      <c r="H64" s="36">
        <f t="shared" si="4"/>
        <v>0</v>
      </c>
      <c r="I64" s="36">
        <f t="shared" si="4"/>
        <v>6</v>
      </c>
      <c r="J64" s="36">
        <f t="shared" si="4"/>
        <v>0</v>
      </c>
      <c r="K64" s="36">
        <f t="shared" si="4"/>
        <v>0</v>
      </c>
      <c r="L64" s="38">
        <f t="shared" si="4"/>
        <v>1</v>
      </c>
      <c r="M64" s="38">
        <f t="shared" si="4"/>
        <v>0</v>
      </c>
      <c r="N64" s="38">
        <f t="shared" si="4"/>
        <v>2</v>
      </c>
      <c r="O64" s="38">
        <f t="shared" si="4"/>
        <v>1</v>
      </c>
      <c r="P64" s="70">
        <f t="shared" ref="P64:S64" si="5">P50+P52+P53+P55+P56</f>
        <v>265</v>
      </c>
      <c r="Q64" s="70">
        <f t="shared" si="5"/>
        <v>430</v>
      </c>
      <c r="R64" s="70">
        <f t="shared" si="5"/>
        <v>475</v>
      </c>
      <c r="S64" s="70">
        <f t="shared" si="5"/>
        <v>463</v>
      </c>
      <c r="T64" s="38">
        <f t="shared" si="4"/>
        <v>0</v>
      </c>
      <c r="U64" s="38">
        <f t="shared" si="4"/>
        <v>0</v>
      </c>
      <c r="V64" s="38">
        <f t="shared" si="4"/>
        <v>0</v>
      </c>
      <c r="W64" s="38">
        <f t="shared" si="4"/>
        <v>0</v>
      </c>
      <c r="X64" s="70">
        <f t="shared" ref="X64:AE64" si="6">X50</f>
        <v>33</v>
      </c>
      <c r="Y64" s="70">
        <f t="shared" si="6"/>
        <v>3</v>
      </c>
      <c r="Z64" s="70">
        <f t="shared" si="6"/>
        <v>5</v>
      </c>
      <c r="AA64" s="70">
        <f t="shared" si="6"/>
        <v>3</v>
      </c>
      <c r="AB64" s="38">
        <f t="shared" si="6"/>
        <v>182</v>
      </c>
      <c r="AC64" s="38">
        <f t="shared" si="6"/>
        <v>98</v>
      </c>
      <c r="AD64" s="38">
        <f t="shared" si="6"/>
        <v>82</v>
      </c>
      <c r="AE64" s="38">
        <f t="shared" si="6"/>
        <v>65</v>
      </c>
      <c r="AF64" s="70">
        <f t="shared" ref="AF64:AJ64" si="7">AF50</f>
        <v>5</v>
      </c>
      <c r="AG64" s="70">
        <f t="shared" si="7"/>
        <v>3</v>
      </c>
      <c r="AH64" s="70">
        <f t="shared" si="7"/>
        <v>11</v>
      </c>
      <c r="AI64" s="70">
        <f t="shared" si="7"/>
        <v>7</v>
      </c>
      <c r="AJ64" s="38">
        <f t="shared" si="7"/>
        <v>6</v>
      </c>
      <c r="AK64" s="38">
        <f t="shared" ref="AK64:AQ64" si="8">AK50</f>
        <v>0</v>
      </c>
      <c r="AL64" s="38">
        <f t="shared" si="8"/>
        <v>0</v>
      </c>
      <c r="AM64" s="38">
        <f t="shared" si="8"/>
        <v>1</v>
      </c>
      <c r="AN64" s="70">
        <f t="shared" si="8"/>
        <v>12</v>
      </c>
      <c r="AO64" s="70">
        <f t="shared" si="8"/>
        <v>43</v>
      </c>
      <c r="AP64" s="70">
        <f t="shared" si="8"/>
        <v>45</v>
      </c>
      <c r="AQ64" s="70">
        <f t="shared" si="8"/>
        <v>16</v>
      </c>
    </row>
    <row r="65" spans="1:43" x14ac:dyDescent="0.25">
      <c r="A65" s="10" t="s">
        <v>32</v>
      </c>
      <c r="B65" s="36">
        <f t="shared" ref="B65:W65" si="9">B53+B58</f>
        <v>418</v>
      </c>
      <c r="C65" s="36">
        <f t="shared" si="9"/>
        <v>21</v>
      </c>
      <c r="D65" s="36">
        <f t="shared" si="9"/>
        <v>706</v>
      </c>
      <c r="E65" s="38">
        <f t="shared" si="9"/>
        <v>427</v>
      </c>
      <c r="F65" s="38">
        <f t="shared" si="9"/>
        <v>640</v>
      </c>
      <c r="G65" s="38">
        <f t="shared" si="9"/>
        <v>80</v>
      </c>
      <c r="H65" s="36">
        <f t="shared" si="9"/>
        <v>51</v>
      </c>
      <c r="I65" s="36">
        <f t="shared" si="9"/>
        <v>327</v>
      </c>
      <c r="J65" s="36">
        <f t="shared" si="9"/>
        <v>352</v>
      </c>
      <c r="K65" s="36">
        <f t="shared" si="9"/>
        <v>492</v>
      </c>
      <c r="L65" s="38">
        <f t="shared" si="9"/>
        <v>405</v>
      </c>
      <c r="M65" s="38">
        <f t="shared" si="9"/>
        <v>252</v>
      </c>
      <c r="N65" s="38">
        <f t="shared" si="9"/>
        <v>389</v>
      </c>
      <c r="O65" s="38">
        <f t="shared" si="9"/>
        <v>246</v>
      </c>
      <c r="P65" s="70">
        <f t="shared" ref="P65:S65" si="10">P51+P53+P54+P56+P57</f>
        <v>307</v>
      </c>
      <c r="Q65" s="70">
        <f t="shared" si="10"/>
        <v>580</v>
      </c>
      <c r="R65" s="70">
        <f t="shared" si="10"/>
        <v>604</v>
      </c>
      <c r="S65" s="70">
        <f t="shared" si="10"/>
        <v>539</v>
      </c>
      <c r="T65" s="38">
        <f t="shared" si="9"/>
        <v>222</v>
      </c>
      <c r="U65" s="38">
        <f t="shared" si="9"/>
        <v>448</v>
      </c>
      <c r="V65" s="38">
        <f t="shared" si="9"/>
        <v>346</v>
      </c>
      <c r="W65" s="38">
        <f t="shared" si="9"/>
        <v>195</v>
      </c>
      <c r="X65" s="70">
        <f t="shared" ref="X65:AE65" si="11">X53+X58</f>
        <v>564</v>
      </c>
      <c r="Y65" s="70">
        <f t="shared" si="11"/>
        <v>365</v>
      </c>
      <c r="Z65" s="70">
        <f t="shared" si="11"/>
        <v>508</v>
      </c>
      <c r="AA65" s="70">
        <f t="shared" si="11"/>
        <v>652</v>
      </c>
      <c r="AB65" s="38">
        <f t="shared" si="11"/>
        <v>373</v>
      </c>
      <c r="AC65" s="38">
        <f t="shared" si="11"/>
        <v>159</v>
      </c>
      <c r="AD65" s="38">
        <f t="shared" si="11"/>
        <v>104</v>
      </c>
      <c r="AE65" s="38">
        <f t="shared" si="11"/>
        <v>25</v>
      </c>
      <c r="AF65" s="70">
        <f t="shared" ref="AF65:AJ65" si="12">AF53+AF58</f>
        <v>440</v>
      </c>
      <c r="AG65" s="70">
        <f t="shared" si="12"/>
        <v>203</v>
      </c>
      <c r="AH65" s="70">
        <f t="shared" si="12"/>
        <v>283</v>
      </c>
      <c r="AI65" s="70">
        <f t="shared" si="12"/>
        <v>213</v>
      </c>
      <c r="AJ65" s="38">
        <f t="shared" si="12"/>
        <v>60</v>
      </c>
      <c r="AK65" s="38">
        <f t="shared" ref="AK65:AQ65" si="13">AK53+AK58</f>
        <v>227</v>
      </c>
      <c r="AL65" s="38">
        <f t="shared" si="13"/>
        <v>186</v>
      </c>
      <c r="AM65" s="38">
        <f t="shared" si="13"/>
        <v>35</v>
      </c>
      <c r="AN65" s="70">
        <f t="shared" si="13"/>
        <v>233</v>
      </c>
      <c r="AO65" s="70">
        <f t="shared" si="13"/>
        <v>617</v>
      </c>
      <c r="AP65" s="70">
        <f t="shared" si="13"/>
        <v>496</v>
      </c>
      <c r="AQ65" s="70">
        <f t="shared" si="13"/>
        <v>205</v>
      </c>
    </row>
    <row r="66" spans="1:43" x14ac:dyDescent="0.25">
      <c r="A66" s="10" t="s">
        <v>33</v>
      </c>
      <c r="B66" s="36">
        <f t="shared" ref="B66:W66" si="14">B57</f>
        <v>75</v>
      </c>
      <c r="C66" s="36">
        <f t="shared" si="14"/>
        <v>1</v>
      </c>
      <c r="D66" s="36">
        <f t="shared" si="14"/>
        <v>6</v>
      </c>
      <c r="E66" s="38">
        <f t="shared" si="14"/>
        <v>70</v>
      </c>
      <c r="F66" s="38">
        <f t="shared" si="14"/>
        <v>12</v>
      </c>
      <c r="G66" s="38">
        <f t="shared" si="14"/>
        <v>0</v>
      </c>
      <c r="H66" s="36">
        <f t="shared" si="14"/>
        <v>2</v>
      </c>
      <c r="I66" s="36">
        <f t="shared" si="14"/>
        <v>1</v>
      </c>
      <c r="J66" s="36">
        <f t="shared" si="14"/>
        <v>0</v>
      </c>
      <c r="K66" s="36">
        <f t="shared" si="14"/>
        <v>0</v>
      </c>
      <c r="L66" s="38">
        <f t="shared" si="14"/>
        <v>0</v>
      </c>
      <c r="M66" s="38">
        <f t="shared" si="14"/>
        <v>0</v>
      </c>
      <c r="N66" s="38">
        <f t="shared" si="14"/>
        <v>0</v>
      </c>
      <c r="O66" s="38">
        <f t="shared" si="14"/>
        <v>0</v>
      </c>
      <c r="P66" s="70">
        <f t="shared" ref="P66:S66" si="15">P52+P54+P55+P57+P58</f>
        <v>69</v>
      </c>
      <c r="Q66" s="70">
        <f t="shared" si="15"/>
        <v>67</v>
      </c>
      <c r="R66" s="70">
        <f t="shared" si="15"/>
        <v>38</v>
      </c>
      <c r="S66" s="70">
        <f t="shared" si="15"/>
        <v>32</v>
      </c>
      <c r="T66" s="38">
        <f t="shared" si="14"/>
        <v>0</v>
      </c>
      <c r="U66" s="38">
        <f t="shared" si="14"/>
        <v>0</v>
      </c>
      <c r="V66" s="38">
        <f t="shared" si="14"/>
        <v>0</v>
      </c>
      <c r="W66" s="38">
        <f t="shared" si="14"/>
        <v>0</v>
      </c>
      <c r="X66" s="70">
        <f t="shared" ref="X66:AE66" si="16">X57</f>
        <v>21</v>
      </c>
      <c r="Y66" s="70">
        <f t="shared" si="16"/>
        <v>5</v>
      </c>
      <c r="Z66" s="70">
        <f t="shared" si="16"/>
        <v>1</v>
      </c>
      <c r="AA66" s="70">
        <f t="shared" si="16"/>
        <v>0</v>
      </c>
      <c r="AB66" s="38">
        <f t="shared" si="16"/>
        <v>0</v>
      </c>
      <c r="AC66" s="38">
        <f t="shared" si="16"/>
        <v>0</v>
      </c>
      <c r="AD66" s="38">
        <f t="shared" si="16"/>
        <v>0</v>
      </c>
      <c r="AE66" s="38">
        <f t="shared" si="16"/>
        <v>0</v>
      </c>
      <c r="AF66" s="70">
        <f t="shared" ref="AF66:AJ66" si="17">AF57</f>
        <v>0</v>
      </c>
      <c r="AG66" s="70">
        <f t="shared" si="17"/>
        <v>0</v>
      </c>
      <c r="AH66" s="70">
        <f t="shared" si="17"/>
        <v>0</v>
      </c>
      <c r="AI66" s="70">
        <f t="shared" si="17"/>
        <v>0</v>
      </c>
      <c r="AJ66" s="38">
        <f t="shared" si="17"/>
        <v>0</v>
      </c>
      <c r="AK66" s="38">
        <f t="shared" ref="AK66:AQ66" si="18">AK57</f>
        <v>2</v>
      </c>
      <c r="AL66" s="38">
        <f t="shared" si="18"/>
        <v>0</v>
      </c>
      <c r="AM66" s="38">
        <f t="shared" si="18"/>
        <v>0</v>
      </c>
      <c r="AN66" s="70">
        <f t="shared" si="18"/>
        <v>53</v>
      </c>
      <c r="AO66" s="70">
        <f t="shared" si="18"/>
        <v>62</v>
      </c>
      <c r="AP66" s="70">
        <f t="shared" si="18"/>
        <v>2</v>
      </c>
      <c r="AQ66" s="70">
        <f t="shared" si="18"/>
        <v>0</v>
      </c>
    </row>
    <row r="67" spans="1:43" x14ac:dyDescent="0.25">
      <c r="A67" s="10" t="s">
        <v>34</v>
      </c>
      <c r="B67" s="37">
        <f t="shared" ref="B67:W67" si="19">B59+B60</f>
        <v>3</v>
      </c>
      <c r="C67" s="37">
        <f t="shared" si="19"/>
        <v>1</v>
      </c>
      <c r="D67" s="37">
        <f t="shared" si="19"/>
        <v>85</v>
      </c>
      <c r="E67" s="38">
        <f t="shared" si="19"/>
        <v>2</v>
      </c>
      <c r="F67" s="38">
        <f t="shared" si="19"/>
        <v>31</v>
      </c>
      <c r="G67" s="38">
        <f t="shared" si="19"/>
        <v>56</v>
      </c>
      <c r="H67" s="37">
        <f t="shared" si="19"/>
        <v>0</v>
      </c>
      <c r="I67" s="37">
        <f t="shared" si="19"/>
        <v>0</v>
      </c>
      <c r="J67" s="37">
        <f t="shared" si="19"/>
        <v>0</v>
      </c>
      <c r="K67" s="37">
        <f t="shared" si="19"/>
        <v>0</v>
      </c>
      <c r="L67" s="38">
        <f t="shared" si="19"/>
        <v>56</v>
      </c>
      <c r="M67" s="38">
        <f t="shared" si="19"/>
        <v>93</v>
      </c>
      <c r="N67" s="38">
        <f t="shared" si="19"/>
        <v>326</v>
      </c>
      <c r="O67" s="38">
        <f t="shared" si="19"/>
        <v>2026</v>
      </c>
      <c r="P67" s="70">
        <f t="shared" ref="P67:S67" si="20">P53+P55+P56+P58+P59</f>
        <v>257</v>
      </c>
      <c r="Q67" s="70">
        <f t="shared" si="20"/>
        <v>396</v>
      </c>
      <c r="R67" s="70">
        <f t="shared" si="20"/>
        <v>378</v>
      </c>
      <c r="S67" s="70">
        <f t="shared" si="20"/>
        <v>262</v>
      </c>
      <c r="T67" s="38">
        <f t="shared" si="19"/>
        <v>0</v>
      </c>
      <c r="U67" s="38">
        <f t="shared" si="19"/>
        <v>22</v>
      </c>
      <c r="V67" s="38">
        <f t="shared" si="19"/>
        <v>41</v>
      </c>
      <c r="W67" s="38">
        <f t="shared" si="19"/>
        <v>162</v>
      </c>
      <c r="X67" s="70">
        <f t="shared" ref="X67:AE67" si="21">X59+X60</f>
        <v>0</v>
      </c>
      <c r="Y67" s="70">
        <f t="shared" si="21"/>
        <v>0</v>
      </c>
      <c r="Z67" s="70">
        <f t="shared" si="21"/>
        <v>0</v>
      </c>
      <c r="AA67" s="70">
        <f t="shared" si="21"/>
        <v>0</v>
      </c>
      <c r="AB67" s="38">
        <f t="shared" si="21"/>
        <v>37</v>
      </c>
      <c r="AC67" s="38">
        <f t="shared" si="21"/>
        <v>27</v>
      </c>
      <c r="AD67" s="38">
        <f t="shared" si="21"/>
        <v>32</v>
      </c>
      <c r="AE67" s="38">
        <f t="shared" si="21"/>
        <v>43</v>
      </c>
      <c r="AF67" s="70">
        <f t="shared" ref="AF67:AJ67" si="22">AF59+AF60</f>
        <v>21</v>
      </c>
      <c r="AG67" s="70">
        <f t="shared" si="22"/>
        <v>19</v>
      </c>
      <c r="AH67" s="70">
        <f t="shared" si="22"/>
        <v>70</v>
      </c>
      <c r="AI67" s="70">
        <f t="shared" si="22"/>
        <v>316</v>
      </c>
      <c r="AJ67" s="38">
        <f t="shared" si="22"/>
        <v>0</v>
      </c>
      <c r="AK67" s="38">
        <f t="shared" ref="AK67:AQ67" si="23">AK59+AK60</f>
        <v>0</v>
      </c>
      <c r="AL67" s="38">
        <f t="shared" si="23"/>
        <v>0</v>
      </c>
      <c r="AM67" s="38">
        <f t="shared" si="23"/>
        <v>0</v>
      </c>
      <c r="AN67" s="70">
        <f t="shared" si="23"/>
        <v>0</v>
      </c>
      <c r="AO67" s="70">
        <f t="shared" si="23"/>
        <v>0</v>
      </c>
      <c r="AP67" s="70">
        <f t="shared" si="23"/>
        <v>0</v>
      </c>
      <c r="AQ67" s="70">
        <f t="shared" si="23"/>
        <v>0</v>
      </c>
    </row>
    <row r="68" spans="1:43" x14ac:dyDescent="0.25">
      <c r="A68" s="17"/>
      <c r="B68" s="33"/>
      <c r="C68" s="33"/>
      <c r="D68" s="33"/>
      <c r="E68" s="29"/>
      <c r="F68" s="30"/>
      <c r="G68" s="30"/>
      <c r="H68" s="31"/>
      <c r="I68" s="31"/>
      <c r="J68" s="31"/>
      <c r="K68" s="31"/>
      <c r="L68" s="30"/>
      <c r="M68" s="30"/>
      <c r="N68" s="30"/>
      <c r="O68" s="30"/>
      <c r="P68" s="72"/>
      <c r="Q68" s="72"/>
      <c r="R68" s="72"/>
      <c r="S68" s="72"/>
      <c r="T68" s="30"/>
      <c r="U68" s="30"/>
      <c r="V68" s="30"/>
      <c r="W68" s="30"/>
      <c r="X68" s="4"/>
      <c r="Y68" s="4"/>
      <c r="Z68" s="4"/>
      <c r="AA68" s="4"/>
    </row>
    <row r="69" spans="1:43" x14ac:dyDescent="0.25">
      <c r="A69" s="17"/>
      <c r="B69" s="33"/>
      <c r="C69" s="33"/>
      <c r="D69" s="33"/>
      <c r="E69" s="29"/>
      <c r="F69" s="30"/>
      <c r="G69" s="30"/>
      <c r="H69" s="31"/>
      <c r="I69" s="31"/>
      <c r="J69" s="31"/>
      <c r="K69" s="31"/>
      <c r="L69" s="30"/>
      <c r="M69" s="30"/>
      <c r="N69" s="30"/>
      <c r="O69" s="30"/>
      <c r="P69" s="72"/>
      <c r="Q69" s="72"/>
      <c r="R69" s="72"/>
      <c r="S69" s="72"/>
      <c r="T69" s="30"/>
      <c r="U69" s="30"/>
      <c r="V69" s="30"/>
      <c r="W69" s="30"/>
    </row>
    <row r="70" spans="1:43" x14ac:dyDescent="0.25">
      <c r="A70" s="10" t="s">
        <v>29</v>
      </c>
      <c r="B70" s="33"/>
      <c r="C70" s="33"/>
      <c r="D70" s="33"/>
      <c r="E70" s="29"/>
      <c r="F70" s="30"/>
      <c r="G70" s="30"/>
      <c r="H70" s="31"/>
      <c r="I70" s="31"/>
      <c r="J70" s="31"/>
      <c r="K70" s="31"/>
      <c r="L70" s="30"/>
      <c r="M70" s="30"/>
      <c r="N70" s="30"/>
      <c r="O70" s="30"/>
      <c r="P70" s="72"/>
      <c r="Q70" s="72"/>
      <c r="R70" s="72"/>
      <c r="S70" s="72"/>
      <c r="T70" s="30"/>
      <c r="U70" s="30"/>
      <c r="V70" s="30"/>
      <c r="W70" s="30"/>
    </row>
    <row r="71" spans="1:43" x14ac:dyDescent="0.25">
      <c r="A71" s="21" t="str">
        <f>"% 2049 (Rocky Mountain Foothill Limber Pine-Juniper Woodland)"</f>
        <v>% 2049 (Rocky Mountain Foothill Limber Pine-Juniper Woodland)</v>
      </c>
      <c r="B71" s="35">
        <f t="shared" ref="B71:B82" si="24">B49/1507</f>
        <v>2.6542800265428003E-3</v>
      </c>
      <c r="C71" s="35">
        <f t="shared" ref="C71:C82" si="25">C49/46</f>
        <v>0</v>
      </c>
      <c r="D71" s="35">
        <f t="shared" ref="D71:D82" si="26">D49/3416</f>
        <v>2.9274004683840749E-4</v>
      </c>
      <c r="E71" s="39">
        <f t="shared" ref="E71:E82" si="27">E49/1245</f>
        <v>1.606425702811245E-3</v>
      </c>
      <c r="F71" s="40">
        <f t="shared" ref="F71:F82" si="28">F49/2486</f>
        <v>1.2067578439259854E-3</v>
      </c>
      <c r="G71" s="40">
        <f t="shared" ref="G71:G82" si="29">G49/1247</f>
        <v>0</v>
      </c>
      <c r="H71" s="41">
        <f t="shared" ref="H71:H82" si="30">H49/116</f>
        <v>0</v>
      </c>
      <c r="I71" s="41">
        <f t="shared" ref="I71:I82" si="31">I49/599</f>
        <v>0</v>
      </c>
      <c r="J71" s="41">
        <f t="shared" ref="J71:J82" si="32">J49/1120</f>
        <v>0</v>
      </c>
      <c r="K71" s="41">
        <f t="shared" ref="K71:K82" si="33">K49/1053</f>
        <v>0</v>
      </c>
      <c r="L71" s="40">
        <f t="shared" ref="L71:L82" si="34">L49/1587</f>
        <v>0</v>
      </c>
      <c r="M71" s="40">
        <f t="shared" ref="M71:M82" si="35">M49/1125</f>
        <v>0</v>
      </c>
      <c r="N71" s="40">
        <f t="shared" ref="N71:N82" si="36">N49/2218</f>
        <v>0</v>
      </c>
      <c r="O71" s="40">
        <f t="shared" ref="O71:O82" si="37">O49/3825</f>
        <v>0</v>
      </c>
      <c r="P71" s="35">
        <f>P49/462</f>
        <v>0</v>
      </c>
      <c r="Q71" s="35">
        <f>Q49/717</f>
        <v>0</v>
      </c>
      <c r="R71" s="35">
        <f>R49/768</f>
        <v>0</v>
      </c>
      <c r="S71" s="35">
        <f>S49/769</f>
        <v>0</v>
      </c>
      <c r="T71" s="40">
        <f t="shared" ref="T71:T82" si="38">T49/1367</f>
        <v>0</v>
      </c>
      <c r="U71" s="40">
        <f t="shared" ref="U71:U82" si="39">U49/1891</f>
        <v>0</v>
      </c>
      <c r="V71" s="40">
        <f t="shared" ref="V71:V82" si="40">V49/1097</f>
        <v>0</v>
      </c>
      <c r="W71" s="40">
        <f t="shared" ref="W71:W82" si="41">W49/599</f>
        <v>0</v>
      </c>
      <c r="X71" s="35">
        <f>X49/912</f>
        <v>0</v>
      </c>
      <c r="Y71" s="35">
        <f>Y49/508</f>
        <v>0</v>
      </c>
      <c r="Z71" s="35">
        <f>Z49/681</f>
        <v>0</v>
      </c>
      <c r="AA71" s="35">
        <f>AA49/892</f>
        <v>0</v>
      </c>
      <c r="AB71" s="40">
        <f>AB49/1210</f>
        <v>0</v>
      </c>
      <c r="AC71" s="40">
        <f>AC49/626</f>
        <v>0</v>
      </c>
      <c r="AD71" s="40">
        <f>AD49/527</f>
        <v>0</v>
      </c>
      <c r="AE71" s="40">
        <f>AE49/605</f>
        <v>0</v>
      </c>
      <c r="AF71" s="35">
        <f>AF49/801</f>
        <v>0</v>
      </c>
      <c r="AG71" s="35">
        <f>AG49/379</f>
        <v>0</v>
      </c>
      <c r="AH71" s="35">
        <f>AH49/655</f>
        <v>0</v>
      </c>
      <c r="AI71" s="35">
        <f>AI49/1013</f>
        <v>0</v>
      </c>
      <c r="AJ71" s="40">
        <f>AJ49/643</f>
        <v>0</v>
      </c>
      <c r="AK71" s="40">
        <f>AK49/1042</f>
        <v>0</v>
      </c>
      <c r="AL71" s="40">
        <f>AL49/857</f>
        <v>0</v>
      </c>
      <c r="AM71" s="40">
        <f>AM49/226</f>
        <v>0</v>
      </c>
      <c r="AN71" s="35">
        <f>AN49/657</f>
        <v>0</v>
      </c>
      <c r="AO71" s="35">
        <f>AO49/1183</f>
        <v>0</v>
      </c>
      <c r="AP71" s="35">
        <f>AP49/809</f>
        <v>0</v>
      </c>
      <c r="AQ71" s="35">
        <f>AQ49/361</f>
        <v>0</v>
      </c>
    </row>
    <row r="72" spans="1:43" x14ac:dyDescent="0.25">
      <c r="A72" s="10" t="s">
        <v>46</v>
      </c>
      <c r="B72" s="35">
        <f t="shared" si="24"/>
        <v>0.25481088254810885</v>
      </c>
      <c r="C72" s="35">
        <f t="shared" si="25"/>
        <v>4.3478260869565216E-2</v>
      </c>
      <c r="D72" s="35">
        <f t="shared" si="26"/>
        <v>0.24385245901639344</v>
      </c>
      <c r="E72" s="39">
        <f t="shared" si="27"/>
        <v>0.20963855421686747</v>
      </c>
      <c r="F72" s="40">
        <f t="shared" si="28"/>
        <v>0.25181013676588898</v>
      </c>
      <c r="G72" s="40">
        <f t="shared" si="29"/>
        <v>0.26704089815557336</v>
      </c>
      <c r="H72" s="41">
        <f t="shared" si="30"/>
        <v>0</v>
      </c>
      <c r="I72" s="41">
        <f t="shared" si="31"/>
        <v>1.001669449081803E-2</v>
      </c>
      <c r="J72" s="41">
        <f t="shared" si="32"/>
        <v>0</v>
      </c>
      <c r="K72" s="41">
        <f t="shared" si="33"/>
        <v>0</v>
      </c>
      <c r="L72" s="40">
        <f t="shared" si="34"/>
        <v>6.3011972274732201E-4</v>
      </c>
      <c r="M72" s="40">
        <f t="shared" si="35"/>
        <v>0</v>
      </c>
      <c r="N72" s="40">
        <f t="shared" si="36"/>
        <v>9.0171325518485117E-4</v>
      </c>
      <c r="O72" s="40">
        <f t="shared" si="37"/>
        <v>2.6143790849673205E-4</v>
      </c>
      <c r="P72" s="35">
        <f t="shared" ref="P72:P82" si="42">P50/462</f>
        <v>1.5151515151515152E-2</v>
      </c>
      <c r="Q72" s="35">
        <f t="shared" ref="Q72:Q82" si="43">Q50/717</f>
        <v>3.9051603905160388E-2</v>
      </c>
      <c r="R72" s="35">
        <f t="shared" ref="R72:R82" si="44">R50/768</f>
        <v>0.1171875</v>
      </c>
      <c r="S72" s="35">
        <f t="shared" ref="S72:S82" si="45">S50/769</f>
        <v>0.25357607282184658</v>
      </c>
      <c r="T72" s="40">
        <f t="shared" si="38"/>
        <v>0</v>
      </c>
      <c r="U72" s="40">
        <f t="shared" si="39"/>
        <v>0</v>
      </c>
      <c r="V72" s="40">
        <f t="shared" si="40"/>
        <v>0</v>
      </c>
      <c r="W72" s="40">
        <f t="shared" si="41"/>
        <v>0</v>
      </c>
      <c r="X72" s="35">
        <f t="shared" ref="X72:X89" si="46">X50/912</f>
        <v>3.6184210526315791E-2</v>
      </c>
      <c r="Y72" s="35">
        <f t="shared" ref="Y72:Y89" si="47">Y50/508</f>
        <v>5.905511811023622E-3</v>
      </c>
      <c r="Z72" s="35">
        <f t="shared" ref="Z72:Z89" si="48">Z50/681</f>
        <v>7.3421439060205578E-3</v>
      </c>
      <c r="AA72" s="35">
        <f t="shared" ref="AA72:AA89" si="49">AA50/892</f>
        <v>3.3632286995515697E-3</v>
      </c>
      <c r="AB72" s="40">
        <f t="shared" ref="AB72:AB89" si="50">AB50/1210</f>
        <v>0.15041322314049588</v>
      </c>
      <c r="AC72" s="40">
        <f t="shared" ref="AC72:AC89" si="51">AC50/626</f>
        <v>0.15654952076677317</v>
      </c>
      <c r="AD72" s="40">
        <f t="shared" ref="AD72:AD89" si="52">AD50/527</f>
        <v>0.15559772296015181</v>
      </c>
      <c r="AE72" s="40">
        <f t="shared" ref="AE72:AE89" si="53">AE50/605</f>
        <v>0.10743801652892562</v>
      </c>
      <c r="AF72" s="35">
        <f t="shared" ref="AF72:AF89" si="54">AF50/801</f>
        <v>6.2421972534332081E-3</v>
      </c>
      <c r="AG72" s="35">
        <f t="shared" ref="AG72:AG89" si="55">AG50/379</f>
        <v>7.9155672823219003E-3</v>
      </c>
      <c r="AH72" s="35">
        <f t="shared" ref="AH72:AH89" si="56">AH50/655</f>
        <v>1.6793893129770993E-2</v>
      </c>
      <c r="AI72" s="35">
        <f t="shared" ref="AI72:AI89" si="57">AI50/1013</f>
        <v>6.9101678183613032E-3</v>
      </c>
      <c r="AJ72" s="40">
        <f t="shared" ref="AJ72:AJ89" si="58">AJ50/643</f>
        <v>9.3312597200622092E-3</v>
      </c>
      <c r="AK72" s="40">
        <f t="shared" ref="AK72:AK89" si="59">AK50/1042</f>
        <v>0</v>
      </c>
      <c r="AL72" s="40">
        <f t="shared" ref="AL72:AL89" si="60">AL50/857</f>
        <v>0</v>
      </c>
      <c r="AM72" s="40">
        <f t="shared" ref="AM72:AM89" si="61">AM50/226</f>
        <v>4.4247787610619468E-3</v>
      </c>
      <c r="AN72" s="35">
        <f t="shared" ref="AN72:AN89" si="62">AN50/657</f>
        <v>1.8264840182648401E-2</v>
      </c>
      <c r="AO72" s="35">
        <f t="shared" ref="AO72:AO89" si="63">AO50/1183</f>
        <v>3.634826711749789E-2</v>
      </c>
      <c r="AP72" s="35">
        <f t="shared" ref="AP72:AP89" si="64">AP50/809</f>
        <v>5.5624227441285541E-2</v>
      </c>
      <c r="AQ72" s="35">
        <f t="shared" ref="AQ72:AQ89" si="65">AQ50/361</f>
        <v>4.4321329639889197E-2</v>
      </c>
    </row>
    <row r="73" spans="1:43" x14ac:dyDescent="0.25">
      <c r="A73" s="10" t="s">
        <v>47</v>
      </c>
      <c r="B73" s="35">
        <f t="shared" si="24"/>
        <v>0.21035169210351692</v>
      </c>
      <c r="C73" s="35">
        <f t="shared" si="25"/>
        <v>0.19565217391304349</v>
      </c>
      <c r="D73" s="35">
        <f t="shared" si="26"/>
        <v>0.34104215456674475</v>
      </c>
      <c r="E73" s="39">
        <f t="shared" si="27"/>
        <v>0.18875502008032127</v>
      </c>
      <c r="F73" s="40">
        <f t="shared" si="28"/>
        <v>0.29203539823008851</v>
      </c>
      <c r="G73" s="40">
        <f t="shared" si="29"/>
        <v>0.42742582197273454</v>
      </c>
      <c r="H73" s="41">
        <f t="shared" si="30"/>
        <v>0.13793103448275862</v>
      </c>
      <c r="I73" s="41">
        <f t="shared" si="31"/>
        <v>0.11853088480801335</v>
      </c>
      <c r="J73" s="41">
        <f t="shared" si="32"/>
        <v>8.0357142857142849E-3</v>
      </c>
      <c r="K73" s="41">
        <f t="shared" si="33"/>
        <v>9.4966761633428305E-4</v>
      </c>
      <c r="L73" s="40">
        <f t="shared" si="34"/>
        <v>0.52425960932577187</v>
      </c>
      <c r="M73" s="40">
        <f t="shared" si="35"/>
        <v>0.57511111111111113</v>
      </c>
      <c r="N73" s="40">
        <f t="shared" si="36"/>
        <v>0.54824165915238954</v>
      </c>
      <c r="O73" s="40">
        <f t="shared" si="37"/>
        <v>0.23006535947712417</v>
      </c>
      <c r="P73" s="35">
        <f t="shared" si="42"/>
        <v>7.3593073593073599E-2</v>
      </c>
      <c r="Q73" s="35">
        <f t="shared" si="43"/>
        <v>0.22733612273361228</v>
      </c>
      <c r="R73" s="35">
        <f t="shared" si="44"/>
        <v>0.31640625</v>
      </c>
      <c r="S73" s="35">
        <f t="shared" si="45"/>
        <v>0.36020806241872561</v>
      </c>
      <c r="T73" s="40">
        <f t="shared" si="38"/>
        <v>8.8514996342355518E-2</v>
      </c>
      <c r="U73" s="40">
        <f t="shared" si="39"/>
        <v>7.2448439978847173E-2</v>
      </c>
      <c r="V73" s="40">
        <f t="shared" si="40"/>
        <v>9.7538742023700997E-2</v>
      </c>
      <c r="W73" s="40">
        <f t="shared" si="41"/>
        <v>9.515859766277128E-2</v>
      </c>
      <c r="X73" s="35">
        <f t="shared" si="46"/>
        <v>0.20833333333333334</v>
      </c>
      <c r="Y73" s="35">
        <f t="shared" si="47"/>
        <v>0.17913385826771652</v>
      </c>
      <c r="Z73" s="35">
        <f t="shared" si="48"/>
        <v>0.20411160058737152</v>
      </c>
      <c r="AA73" s="35">
        <f t="shared" si="49"/>
        <v>0.24439461883408073</v>
      </c>
      <c r="AB73" s="40">
        <f t="shared" si="50"/>
        <v>0.256198347107438</v>
      </c>
      <c r="AC73" s="40">
        <f t="shared" si="51"/>
        <v>0.23482428115015974</v>
      </c>
      <c r="AD73" s="40">
        <f t="shared" si="52"/>
        <v>0.19354838709677419</v>
      </c>
      <c r="AE73" s="40">
        <f t="shared" si="53"/>
        <v>7.43801652892562E-2</v>
      </c>
      <c r="AF73" s="35">
        <f t="shared" si="54"/>
        <v>0.21223470661672908</v>
      </c>
      <c r="AG73" s="35">
        <f t="shared" si="55"/>
        <v>0.20052770448548812</v>
      </c>
      <c r="AH73" s="35">
        <f t="shared" si="56"/>
        <v>0.24427480916030533</v>
      </c>
      <c r="AI73" s="35">
        <f t="shared" si="57"/>
        <v>0.13919052319842054</v>
      </c>
      <c r="AJ73" s="40">
        <f t="shared" si="58"/>
        <v>0.77916018662519437</v>
      </c>
      <c r="AK73" s="40">
        <f t="shared" si="59"/>
        <v>0.69769673704414592</v>
      </c>
      <c r="AL73" s="40">
        <f t="shared" si="60"/>
        <v>0.67677946324387395</v>
      </c>
      <c r="AM73" s="40">
        <f t="shared" si="61"/>
        <v>0.62389380530973448</v>
      </c>
      <c r="AN73" s="35">
        <f t="shared" si="62"/>
        <v>0.17351598173515981</v>
      </c>
      <c r="AO73" s="35">
        <f t="shared" si="63"/>
        <v>0.15384615384615385</v>
      </c>
      <c r="AP73" s="35">
        <f t="shared" si="64"/>
        <v>0.24721878862793573</v>
      </c>
      <c r="AQ73" s="35">
        <f t="shared" si="65"/>
        <v>0.35457063711911357</v>
      </c>
    </row>
    <row r="74" spans="1:43" x14ac:dyDescent="0.25">
      <c r="A74" s="10" t="s">
        <v>48</v>
      </c>
      <c r="B74" s="35">
        <f t="shared" si="24"/>
        <v>3.5169210351692105E-2</v>
      </c>
      <c r="C74" s="35">
        <f t="shared" si="25"/>
        <v>6.5217391304347824E-2</v>
      </c>
      <c r="D74" s="35">
        <f t="shared" si="26"/>
        <v>0.11943793911007025</v>
      </c>
      <c r="E74" s="39">
        <f t="shared" si="27"/>
        <v>2.5702811244979921E-2</v>
      </c>
      <c r="F74" s="40">
        <f t="shared" si="28"/>
        <v>0.1001609010458568</v>
      </c>
      <c r="G74" s="40">
        <f t="shared" si="29"/>
        <v>0.1491579791499599</v>
      </c>
      <c r="H74" s="41">
        <f t="shared" si="30"/>
        <v>8.6206896551724137E-3</v>
      </c>
      <c r="I74" s="41">
        <f t="shared" si="31"/>
        <v>1.1686143572621035E-2</v>
      </c>
      <c r="J74" s="41">
        <f t="shared" si="32"/>
        <v>8.9285714285714283E-4</v>
      </c>
      <c r="K74" s="41">
        <f t="shared" si="33"/>
        <v>9.4966761633428305E-4</v>
      </c>
      <c r="L74" s="40">
        <f t="shared" si="34"/>
        <v>5.6710775047258983E-3</v>
      </c>
      <c r="M74" s="40">
        <f t="shared" si="35"/>
        <v>1.3333333333333334E-2</v>
      </c>
      <c r="N74" s="40">
        <f t="shared" si="36"/>
        <v>1.4878268710550046E-2</v>
      </c>
      <c r="O74" s="40">
        <f t="shared" si="37"/>
        <v>1.1241830065359478E-2</v>
      </c>
      <c r="P74" s="35">
        <f t="shared" si="42"/>
        <v>2.1645021645021645E-3</v>
      </c>
      <c r="Q74" s="35">
        <f t="shared" si="43"/>
        <v>8.368200836820083E-3</v>
      </c>
      <c r="R74" s="35">
        <f t="shared" si="44"/>
        <v>9.1145833333333339E-3</v>
      </c>
      <c r="S74" s="35">
        <f t="shared" si="45"/>
        <v>7.8023407022106634E-3</v>
      </c>
      <c r="T74" s="40">
        <f t="shared" si="38"/>
        <v>2.1945866861741038E-3</v>
      </c>
      <c r="U74" s="40">
        <f t="shared" si="39"/>
        <v>0</v>
      </c>
      <c r="V74" s="40">
        <f t="shared" si="40"/>
        <v>0</v>
      </c>
      <c r="W74" s="40">
        <f t="shared" si="41"/>
        <v>0</v>
      </c>
      <c r="X74" s="35">
        <f t="shared" si="46"/>
        <v>1.0964912280701754E-3</v>
      </c>
      <c r="Y74" s="35">
        <f t="shared" si="47"/>
        <v>0</v>
      </c>
      <c r="Z74" s="35">
        <f t="shared" si="48"/>
        <v>0</v>
      </c>
      <c r="AA74" s="35">
        <f t="shared" si="49"/>
        <v>0</v>
      </c>
      <c r="AB74" s="40">
        <f t="shared" si="50"/>
        <v>3.71900826446281E-2</v>
      </c>
      <c r="AC74" s="40">
        <f t="shared" si="51"/>
        <v>4.1533546325878593E-2</v>
      </c>
      <c r="AD74" s="40">
        <f t="shared" si="52"/>
        <v>1.8975332068311195E-2</v>
      </c>
      <c r="AE74" s="40">
        <f t="shared" si="53"/>
        <v>3.3057851239669421E-3</v>
      </c>
      <c r="AF74" s="35">
        <f t="shared" si="54"/>
        <v>1.3732833957553059E-2</v>
      </c>
      <c r="AG74" s="35">
        <f t="shared" si="55"/>
        <v>0</v>
      </c>
      <c r="AH74" s="35">
        <f t="shared" si="56"/>
        <v>7.6335877862595417E-3</v>
      </c>
      <c r="AI74" s="35">
        <f t="shared" si="57"/>
        <v>1.9743336623889436E-3</v>
      </c>
      <c r="AJ74" s="40">
        <f t="shared" si="58"/>
        <v>7.4650077760497674E-2</v>
      </c>
      <c r="AK74" s="40">
        <f t="shared" si="59"/>
        <v>6.6218809980806148E-2</v>
      </c>
      <c r="AL74" s="40">
        <f t="shared" si="60"/>
        <v>0.15985997666277713</v>
      </c>
      <c r="AM74" s="40">
        <f t="shared" si="61"/>
        <v>0.36283185840707965</v>
      </c>
      <c r="AN74" s="35">
        <f t="shared" si="62"/>
        <v>0</v>
      </c>
      <c r="AO74" s="35">
        <f t="shared" si="63"/>
        <v>1.6906170752324597E-3</v>
      </c>
      <c r="AP74" s="35">
        <f t="shared" si="64"/>
        <v>6.180469715698393E-3</v>
      </c>
      <c r="AQ74" s="35">
        <f t="shared" si="65"/>
        <v>5.5401662049861496E-3</v>
      </c>
    </row>
    <row r="75" spans="1:43" x14ac:dyDescent="0.25">
      <c r="A75" s="10" t="s">
        <v>49</v>
      </c>
      <c r="B75" s="35">
        <f t="shared" si="24"/>
        <v>0.27737226277372262</v>
      </c>
      <c r="C75" s="35">
        <f t="shared" si="25"/>
        <v>0.45652173913043476</v>
      </c>
      <c r="D75" s="35">
        <f t="shared" si="26"/>
        <v>0.20608899297423888</v>
      </c>
      <c r="E75" s="39">
        <f t="shared" si="27"/>
        <v>0.3429718875502008</v>
      </c>
      <c r="F75" s="40">
        <f t="shared" si="28"/>
        <v>0.25663716814159293</v>
      </c>
      <c r="G75" s="40">
        <f t="shared" si="29"/>
        <v>6.4153969526864474E-2</v>
      </c>
      <c r="H75" s="41">
        <f t="shared" si="30"/>
        <v>0.43965517241379309</v>
      </c>
      <c r="I75" s="41">
        <f t="shared" si="31"/>
        <v>0.5141903171953256</v>
      </c>
      <c r="J75" s="41">
        <f t="shared" si="32"/>
        <v>4.3749999999999997E-2</v>
      </c>
      <c r="K75" s="41">
        <f t="shared" si="33"/>
        <v>2.8490028490028491E-3</v>
      </c>
      <c r="L75" s="40">
        <f t="shared" si="34"/>
        <v>0.2551984877126654</v>
      </c>
      <c r="M75" s="40">
        <f t="shared" si="35"/>
        <v>0.22311111111111112</v>
      </c>
      <c r="N75" s="40">
        <f t="shared" si="36"/>
        <v>0.17538322813345356</v>
      </c>
      <c r="O75" s="40">
        <f t="shared" si="37"/>
        <v>6.431372549019608E-2</v>
      </c>
      <c r="P75" s="35">
        <f t="shared" si="42"/>
        <v>0.23160173160173161</v>
      </c>
      <c r="Q75" s="35">
        <f t="shared" si="43"/>
        <v>0.45746164574616455</v>
      </c>
      <c r="R75" s="35">
        <f t="shared" si="44"/>
        <v>0.45703125</v>
      </c>
      <c r="S75" s="35">
        <f t="shared" si="45"/>
        <v>0.32379713914174252</v>
      </c>
      <c r="T75" s="40">
        <f t="shared" si="38"/>
        <v>0.16239941477688369</v>
      </c>
      <c r="U75" s="40">
        <f t="shared" si="39"/>
        <v>0.23691168693812797</v>
      </c>
      <c r="V75" s="40">
        <f t="shared" si="40"/>
        <v>0.31540565177757518</v>
      </c>
      <c r="W75" s="40">
        <f t="shared" si="41"/>
        <v>0.32554257095158595</v>
      </c>
      <c r="X75" s="35">
        <f t="shared" si="46"/>
        <v>0.61842105263157898</v>
      </c>
      <c r="Y75" s="35">
        <f t="shared" si="47"/>
        <v>0.71850393700787396</v>
      </c>
      <c r="Z75" s="35">
        <f t="shared" si="48"/>
        <v>0.74596182085168872</v>
      </c>
      <c r="AA75" s="35">
        <f t="shared" si="49"/>
        <v>0.73094170403587444</v>
      </c>
      <c r="AB75" s="40">
        <f t="shared" si="50"/>
        <v>0.30826446280991737</v>
      </c>
      <c r="AC75" s="40">
        <f t="shared" si="51"/>
        <v>0.2539936102236422</v>
      </c>
      <c r="AD75" s="40">
        <f t="shared" si="52"/>
        <v>0.19734345351043645</v>
      </c>
      <c r="AE75" s="40">
        <f t="shared" si="53"/>
        <v>4.1322314049586778E-2</v>
      </c>
      <c r="AF75" s="35">
        <f t="shared" si="54"/>
        <v>0.54556803995006242</v>
      </c>
      <c r="AG75" s="35">
        <f t="shared" si="55"/>
        <v>0.53034300791556732</v>
      </c>
      <c r="AH75" s="35">
        <f t="shared" si="56"/>
        <v>0.43206106870229005</v>
      </c>
      <c r="AI75" s="35">
        <f t="shared" si="57"/>
        <v>0.2102665350444225</v>
      </c>
      <c r="AJ75" s="40">
        <f t="shared" si="58"/>
        <v>9.3312597200622086E-2</v>
      </c>
      <c r="AK75" s="40">
        <f t="shared" si="59"/>
        <v>0.21785028790786948</v>
      </c>
      <c r="AL75" s="40">
        <f t="shared" si="60"/>
        <v>0.21703617269544925</v>
      </c>
      <c r="AM75" s="40">
        <f t="shared" si="61"/>
        <v>0.15486725663716813</v>
      </c>
      <c r="AN75" s="35">
        <f t="shared" si="62"/>
        <v>0.35464231354642312</v>
      </c>
      <c r="AO75" s="35">
        <f t="shared" si="63"/>
        <v>0.52155536770921385</v>
      </c>
      <c r="AP75" s="35">
        <f t="shared" si="64"/>
        <v>0.61310259579728055</v>
      </c>
      <c r="AQ75" s="35">
        <f t="shared" si="65"/>
        <v>0.56786703601108035</v>
      </c>
    </row>
    <row r="76" spans="1:43" x14ac:dyDescent="0.25">
      <c r="A76" s="10" t="s">
        <v>50</v>
      </c>
      <c r="B76" s="35">
        <f t="shared" si="24"/>
        <v>1.12806901128069E-2</v>
      </c>
      <c r="C76" s="35">
        <f t="shared" si="25"/>
        <v>8.6956521739130432E-2</v>
      </c>
      <c r="D76" s="35">
        <f t="shared" si="26"/>
        <v>2.4882903981264637E-2</v>
      </c>
      <c r="E76" s="39">
        <f t="shared" si="27"/>
        <v>1.1244979919678716E-2</v>
      </c>
      <c r="F76" s="40">
        <f t="shared" si="28"/>
        <v>1.8905872888173775E-2</v>
      </c>
      <c r="G76" s="40">
        <f t="shared" si="29"/>
        <v>3.6086607858861267E-2</v>
      </c>
      <c r="H76" s="41">
        <f t="shared" si="30"/>
        <v>0</v>
      </c>
      <c r="I76" s="41">
        <f t="shared" si="31"/>
        <v>0</v>
      </c>
      <c r="J76" s="41">
        <f t="shared" si="32"/>
        <v>0</v>
      </c>
      <c r="K76" s="41">
        <f t="shared" si="33"/>
        <v>0</v>
      </c>
      <c r="L76" s="40">
        <f t="shared" si="34"/>
        <v>3.1505986137366098E-3</v>
      </c>
      <c r="M76" s="40">
        <f t="shared" si="35"/>
        <v>8.8888888888888893E-4</v>
      </c>
      <c r="N76" s="40">
        <f t="shared" si="36"/>
        <v>9.0171325518485117E-4</v>
      </c>
      <c r="O76" s="40">
        <f t="shared" si="37"/>
        <v>5.228758169934641E-4</v>
      </c>
      <c r="P76" s="35">
        <f t="shared" si="42"/>
        <v>4.329004329004329E-3</v>
      </c>
      <c r="Q76" s="35">
        <f t="shared" si="43"/>
        <v>4.1841004184100415E-3</v>
      </c>
      <c r="R76" s="35">
        <f t="shared" si="44"/>
        <v>6.510416666666667E-3</v>
      </c>
      <c r="S76" s="35">
        <f t="shared" si="45"/>
        <v>1.6905071521456438E-2</v>
      </c>
      <c r="T76" s="40">
        <f t="shared" si="38"/>
        <v>0</v>
      </c>
      <c r="U76" s="40">
        <f t="shared" si="39"/>
        <v>0</v>
      </c>
      <c r="V76" s="40">
        <f t="shared" si="40"/>
        <v>9.1157702825888785E-4</v>
      </c>
      <c r="W76" s="40">
        <f t="shared" si="41"/>
        <v>0</v>
      </c>
      <c r="X76" s="35">
        <f t="shared" si="46"/>
        <v>1.0964912280701754E-3</v>
      </c>
      <c r="Y76" s="35">
        <f t="shared" si="47"/>
        <v>0</v>
      </c>
      <c r="Z76" s="35">
        <f t="shared" si="48"/>
        <v>2.936857562408223E-3</v>
      </c>
      <c r="AA76" s="35">
        <f t="shared" si="49"/>
        <v>1.1210762331838565E-3</v>
      </c>
      <c r="AB76" s="40">
        <f t="shared" si="50"/>
        <v>1.652892561983471E-3</v>
      </c>
      <c r="AC76" s="40">
        <f t="shared" si="51"/>
        <v>1.5974440894568689E-3</v>
      </c>
      <c r="AD76" s="40">
        <f t="shared" si="52"/>
        <v>0</v>
      </c>
      <c r="AE76" s="40">
        <f t="shared" si="53"/>
        <v>1.652892561983471E-3</v>
      </c>
      <c r="AF76" s="35">
        <f t="shared" si="54"/>
        <v>0</v>
      </c>
      <c r="AG76" s="35">
        <f t="shared" si="55"/>
        <v>0</v>
      </c>
      <c r="AH76" s="35">
        <f t="shared" si="56"/>
        <v>0</v>
      </c>
      <c r="AI76" s="35">
        <f t="shared" si="57"/>
        <v>3.9486673247778872E-3</v>
      </c>
      <c r="AJ76" s="40">
        <f t="shared" si="58"/>
        <v>0</v>
      </c>
      <c r="AK76" s="40">
        <f t="shared" si="59"/>
        <v>0</v>
      </c>
      <c r="AL76" s="40">
        <f t="shared" si="60"/>
        <v>0</v>
      </c>
      <c r="AM76" s="40">
        <f t="shared" si="61"/>
        <v>0</v>
      </c>
      <c r="AN76" s="35">
        <f t="shared" si="62"/>
        <v>0</v>
      </c>
      <c r="AO76" s="35">
        <f t="shared" si="63"/>
        <v>0</v>
      </c>
      <c r="AP76" s="35">
        <f t="shared" si="64"/>
        <v>1.2360939431396785E-3</v>
      </c>
      <c r="AQ76" s="35">
        <f t="shared" si="65"/>
        <v>2.7700831024930748E-3</v>
      </c>
    </row>
    <row r="77" spans="1:43" x14ac:dyDescent="0.25">
      <c r="A77" s="10" t="s">
        <v>51</v>
      </c>
      <c r="B77" s="35">
        <f t="shared" si="24"/>
        <v>0.14532183145321831</v>
      </c>
      <c r="C77" s="35">
        <f t="shared" si="25"/>
        <v>0.10869565217391304</v>
      </c>
      <c r="D77" s="35">
        <f t="shared" si="26"/>
        <v>2.8103044496487119E-2</v>
      </c>
      <c r="E77" s="39">
        <f t="shared" si="27"/>
        <v>0.15100401606425704</v>
      </c>
      <c r="F77" s="40">
        <f t="shared" si="28"/>
        <v>5.1488334674175379E-2</v>
      </c>
      <c r="G77" s="40">
        <f t="shared" si="29"/>
        <v>3.2076984763432237E-3</v>
      </c>
      <c r="H77" s="41">
        <f t="shared" si="30"/>
        <v>0.10344827586206896</v>
      </c>
      <c r="I77" s="41">
        <f t="shared" si="31"/>
        <v>3.6727879799666109E-2</v>
      </c>
      <c r="J77" s="41">
        <f t="shared" si="32"/>
        <v>2.6785714285714286E-3</v>
      </c>
      <c r="K77" s="41">
        <f t="shared" si="33"/>
        <v>0</v>
      </c>
      <c r="L77" s="40">
        <f t="shared" si="34"/>
        <v>9.4517958412098299E-3</v>
      </c>
      <c r="M77" s="40">
        <f t="shared" si="35"/>
        <v>1.4222222222222223E-2</v>
      </c>
      <c r="N77" s="40">
        <f t="shared" si="36"/>
        <v>1.4878268710550046E-2</v>
      </c>
      <c r="O77" s="40">
        <f t="shared" si="37"/>
        <v>9.9346405228758171E-3</v>
      </c>
      <c r="P77" s="35">
        <f t="shared" si="42"/>
        <v>5.627705627705628E-2</v>
      </c>
      <c r="Q77" s="35">
        <f t="shared" si="43"/>
        <v>2.7894002789400279E-2</v>
      </c>
      <c r="R77" s="35">
        <f t="shared" si="44"/>
        <v>3.125E-2</v>
      </c>
      <c r="S77" s="35">
        <f t="shared" si="45"/>
        <v>1.6905071521456438E-2</v>
      </c>
      <c r="T77" s="40">
        <f t="shared" si="38"/>
        <v>5.1938551572787123E-2</v>
      </c>
      <c r="U77" s="40">
        <f t="shared" si="39"/>
        <v>8.7255420412480175E-2</v>
      </c>
      <c r="V77" s="40">
        <f t="shared" si="40"/>
        <v>0.1203281677301732</v>
      </c>
      <c r="W77" s="40">
        <f t="shared" si="41"/>
        <v>6.8447412353923209E-2</v>
      </c>
      <c r="X77" s="35">
        <f t="shared" si="46"/>
        <v>3.399122807017544E-2</v>
      </c>
      <c r="Y77" s="35">
        <f t="shared" si="47"/>
        <v>3.3464566929133861E-2</v>
      </c>
      <c r="Z77" s="35">
        <f t="shared" si="48"/>
        <v>2.2026431718061675E-2</v>
      </c>
      <c r="AA77" s="35">
        <f t="shared" si="49"/>
        <v>1.4573991031390135E-2</v>
      </c>
      <c r="AB77" s="40">
        <f t="shared" si="50"/>
        <v>4.2148760330578509E-2</v>
      </c>
      <c r="AC77" s="40">
        <f t="shared" si="51"/>
        <v>4.472843450479233E-2</v>
      </c>
      <c r="AD77" s="40">
        <f t="shared" si="52"/>
        <v>4.3643263757115747E-2</v>
      </c>
      <c r="AE77" s="40">
        <f t="shared" si="53"/>
        <v>2.6446280991735537E-2</v>
      </c>
      <c r="AF77" s="35">
        <f t="shared" si="54"/>
        <v>2.7465667915106119E-2</v>
      </c>
      <c r="AG77" s="35">
        <f t="shared" si="55"/>
        <v>5.2770448548812667E-2</v>
      </c>
      <c r="AH77" s="35">
        <f t="shared" si="56"/>
        <v>3.5114503816793895E-2</v>
      </c>
      <c r="AI77" s="35">
        <f t="shared" si="57"/>
        <v>1.5794669299111549E-2</v>
      </c>
      <c r="AJ77" s="40">
        <f t="shared" si="58"/>
        <v>1.5552099533437014E-3</v>
      </c>
      <c r="AK77" s="40">
        <f t="shared" si="59"/>
        <v>6.7178502879078695E-3</v>
      </c>
      <c r="AL77" s="40">
        <f t="shared" si="60"/>
        <v>1.1668611435239206E-2</v>
      </c>
      <c r="AM77" s="40">
        <f t="shared" si="61"/>
        <v>2.6548672566371681E-2</v>
      </c>
      <c r="AN77" s="35">
        <f t="shared" si="62"/>
        <v>6.2404870624048703E-2</v>
      </c>
      <c r="AO77" s="35">
        <f t="shared" si="63"/>
        <v>3.2967032967032968E-2</v>
      </c>
      <c r="AP77" s="35">
        <f t="shared" si="64"/>
        <v>3.4610630407911E-2</v>
      </c>
      <c r="AQ77" s="35">
        <f t="shared" si="65"/>
        <v>1.9390581717451522E-2</v>
      </c>
    </row>
    <row r="78" spans="1:43" x14ac:dyDescent="0.25">
      <c r="A78" s="10" t="s">
        <v>52</v>
      </c>
      <c r="B78" s="35">
        <f t="shared" si="24"/>
        <v>0</v>
      </c>
      <c r="C78" s="35">
        <f t="shared" si="25"/>
        <v>0</v>
      </c>
      <c r="D78" s="35">
        <f t="shared" si="26"/>
        <v>0</v>
      </c>
      <c r="E78" s="39">
        <f t="shared" si="27"/>
        <v>0</v>
      </c>
      <c r="F78" s="40">
        <f t="shared" si="28"/>
        <v>0</v>
      </c>
      <c r="G78" s="40">
        <f t="shared" si="29"/>
        <v>0</v>
      </c>
      <c r="H78" s="41">
        <f t="shared" si="30"/>
        <v>0</v>
      </c>
      <c r="I78" s="41">
        <f t="shared" si="31"/>
        <v>0</v>
      </c>
      <c r="J78" s="41">
        <f t="shared" si="32"/>
        <v>0</v>
      </c>
      <c r="K78" s="41">
        <f t="shared" si="33"/>
        <v>0</v>
      </c>
      <c r="L78" s="40">
        <f t="shared" si="34"/>
        <v>0</v>
      </c>
      <c r="M78" s="40">
        <f t="shared" si="35"/>
        <v>0</v>
      </c>
      <c r="N78" s="40">
        <f t="shared" si="36"/>
        <v>0</v>
      </c>
      <c r="O78" s="40">
        <f t="shared" si="37"/>
        <v>0</v>
      </c>
      <c r="P78" s="35">
        <f t="shared" si="42"/>
        <v>0.26839826839826841</v>
      </c>
      <c r="Q78" s="35">
        <f t="shared" si="43"/>
        <v>6.6945606694560664E-2</v>
      </c>
      <c r="R78" s="35">
        <f t="shared" si="44"/>
        <v>3.90625E-3</v>
      </c>
      <c r="S78" s="35">
        <f t="shared" si="45"/>
        <v>0</v>
      </c>
      <c r="T78" s="40">
        <f t="shared" si="38"/>
        <v>0</v>
      </c>
      <c r="U78" s="40">
        <f t="shared" si="39"/>
        <v>5.2882072977260709E-4</v>
      </c>
      <c r="V78" s="40">
        <f t="shared" si="40"/>
        <v>0</v>
      </c>
      <c r="W78" s="40">
        <f t="shared" si="41"/>
        <v>0</v>
      </c>
      <c r="X78" s="35">
        <f t="shared" si="46"/>
        <v>2.6315789473684209E-2</v>
      </c>
      <c r="Y78" s="35">
        <f t="shared" si="47"/>
        <v>1.1811023622047244E-2</v>
      </c>
      <c r="Z78" s="35">
        <f t="shared" si="48"/>
        <v>0</v>
      </c>
      <c r="AA78" s="35">
        <f t="shared" si="49"/>
        <v>0</v>
      </c>
      <c r="AB78" s="40">
        <f t="shared" si="50"/>
        <v>0</v>
      </c>
      <c r="AC78" s="40">
        <f t="shared" si="51"/>
        <v>0</v>
      </c>
      <c r="AD78" s="40">
        <f t="shared" si="52"/>
        <v>0</v>
      </c>
      <c r="AE78" s="40">
        <f t="shared" si="53"/>
        <v>0</v>
      </c>
      <c r="AF78" s="35">
        <f t="shared" si="54"/>
        <v>0</v>
      </c>
      <c r="AG78" s="35">
        <f t="shared" si="55"/>
        <v>0</v>
      </c>
      <c r="AH78" s="35">
        <f t="shared" si="56"/>
        <v>0</v>
      </c>
      <c r="AI78" s="35">
        <f t="shared" si="57"/>
        <v>0</v>
      </c>
      <c r="AJ78" s="40">
        <f t="shared" si="58"/>
        <v>2.0217729393468119E-2</v>
      </c>
      <c r="AK78" s="40">
        <f t="shared" si="59"/>
        <v>1.5355086372360844E-2</v>
      </c>
      <c r="AL78" s="40">
        <f t="shared" si="60"/>
        <v>4.6674445740956822E-3</v>
      </c>
      <c r="AM78" s="40">
        <f t="shared" si="61"/>
        <v>0</v>
      </c>
      <c r="AN78" s="35">
        <f t="shared" si="62"/>
        <v>0.17351598173515981</v>
      </c>
      <c r="AO78" s="35">
        <f t="shared" si="63"/>
        <v>9.6365173288250214E-2</v>
      </c>
      <c r="AP78" s="35">
        <f t="shared" si="64"/>
        <v>3.708281829419036E-3</v>
      </c>
      <c r="AQ78" s="35">
        <f t="shared" si="65"/>
        <v>0</v>
      </c>
    </row>
    <row r="79" spans="1:43" x14ac:dyDescent="0.25">
      <c r="A79" s="21" t="str">
        <f>"% 2086 (Rocky Mountain Lower Montane-Foothill Shrubland)"</f>
        <v>% 2086 (Rocky Mountain Lower Montane-Foothill Shrubland)</v>
      </c>
      <c r="B79" s="35">
        <f t="shared" si="24"/>
        <v>4.9767750497677503E-2</v>
      </c>
      <c r="C79" s="35">
        <f t="shared" si="25"/>
        <v>2.1739130434782608E-2</v>
      </c>
      <c r="D79" s="35">
        <f t="shared" si="26"/>
        <v>1.756440281030445E-3</v>
      </c>
      <c r="E79" s="39">
        <f t="shared" si="27"/>
        <v>5.6224899598393573E-2</v>
      </c>
      <c r="F79" s="40">
        <f t="shared" si="28"/>
        <v>4.8270313757039418E-3</v>
      </c>
      <c r="G79" s="40">
        <f t="shared" si="29"/>
        <v>0</v>
      </c>
      <c r="H79" s="41">
        <f t="shared" si="30"/>
        <v>1.7241379310344827E-2</v>
      </c>
      <c r="I79" s="41">
        <f t="shared" si="31"/>
        <v>1.6694490818030051E-3</v>
      </c>
      <c r="J79" s="41">
        <f t="shared" si="32"/>
        <v>0</v>
      </c>
      <c r="K79" s="41">
        <f t="shared" si="33"/>
        <v>0</v>
      </c>
      <c r="L79" s="40">
        <f t="shared" si="34"/>
        <v>0</v>
      </c>
      <c r="M79" s="40">
        <f t="shared" si="35"/>
        <v>0</v>
      </c>
      <c r="N79" s="40">
        <f t="shared" si="36"/>
        <v>0</v>
      </c>
      <c r="O79" s="40">
        <f t="shared" si="37"/>
        <v>0</v>
      </c>
      <c r="P79" s="35">
        <f t="shared" si="42"/>
        <v>8.6580086580086577E-2</v>
      </c>
      <c r="Q79" s="35">
        <f t="shared" si="43"/>
        <v>5.2998605299860529E-2</v>
      </c>
      <c r="R79" s="35">
        <f t="shared" si="44"/>
        <v>2.6041666666666665E-3</v>
      </c>
      <c r="S79" s="35">
        <f t="shared" si="45"/>
        <v>0</v>
      </c>
      <c r="T79" s="40">
        <f t="shared" si="38"/>
        <v>0</v>
      </c>
      <c r="U79" s="40">
        <f t="shared" si="39"/>
        <v>0</v>
      </c>
      <c r="V79" s="40">
        <f t="shared" si="40"/>
        <v>0</v>
      </c>
      <c r="W79" s="40">
        <f t="shared" si="41"/>
        <v>0</v>
      </c>
      <c r="X79" s="35">
        <f t="shared" si="46"/>
        <v>2.3026315789473683E-2</v>
      </c>
      <c r="Y79" s="35">
        <f t="shared" si="47"/>
        <v>9.8425196850393699E-3</v>
      </c>
      <c r="Z79" s="35">
        <f t="shared" si="48"/>
        <v>1.4684287812041115E-3</v>
      </c>
      <c r="AA79" s="35">
        <f t="shared" si="49"/>
        <v>0</v>
      </c>
      <c r="AB79" s="40">
        <f t="shared" si="50"/>
        <v>0</v>
      </c>
      <c r="AC79" s="40">
        <f t="shared" si="51"/>
        <v>0</v>
      </c>
      <c r="AD79" s="40">
        <f t="shared" si="52"/>
        <v>0</v>
      </c>
      <c r="AE79" s="40">
        <f t="shared" si="53"/>
        <v>0</v>
      </c>
      <c r="AF79" s="35">
        <f t="shared" si="54"/>
        <v>0</v>
      </c>
      <c r="AG79" s="35">
        <f t="shared" si="55"/>
        <v>0</v>
      </c>
      <c r="AH79" s="35">
        <f t="shared" si="56"/>
        <v>0</v>
      </c>
      <c r="AI79" s="35">
        <f t="shared" si="57"/>
        <v>0</v>
      </c>
      <c r="AJ79" s="40">
        <f t="shared" si="58"/>
        <v>0</v>
      </c>
      <c r="AK79" s="40">
        <f t="shared" si="59"/>
        <v>1.9193857965451055E-3</v>
      </c>
      <c r="AL79" s="40">
        <f t="shared" si="60"/>
        <v>0</v>
      </c>
      <c r="AM79" s="40">
        <f t="shared" si="61"/>
        <v>0</v>
      </c>
      <c r="AN79" s="35">
        <f t="shared" si="62"/>
        <v>8.0669710806697104E-2</v>
      </c>
      <c r="AO79" s="35">
        <f t="shared" si="63"/>
        <v>5.2409129332206254E-2</v>
      </c>
      <c r="AP79" s="35">
        <f t="shared" si="64"/>
        <v>2.472187886279357E-3</v>
      </c>
      <c r="AQ79" s="35">
        <f t="shared" si="65"/>
        <v>0</v>
      </c>
    </row>
    <row r="80" spans="1:43" x14ac:dyDescent="0.25">
      <c r="A80" s="21" t="str">
        <f>"% 2117 (Southern Rocky Mountain Ponderosa Pine Savanna)"</f>
        <v>% 2117 (Southern Rocky Mountain Ponderosa Pine Savanna)</v>
      </c>
      <c r="B80" s="35">
        <f t="shared" si="24"/>
        <v>0</v>
      </c>
      <c r="C80" s="35">
        <f t="shared" si="25"/>
        <v>0</v>
      </c>
      <c r="D80" s="35">
        <f t="shared" si="26"/>
        <v>5.8548009367681499E-4</v>
      </c>
      <c r="E80" s="39">
        <f t="shared" si="27"/>
        <v>0</v>
      </c>
      <c r="F80" s="40">
        <f t="shared" si="28"/>
        <v>8.045052292839903E-4</v>
      </c>
      <c r="G80" s="40">
        <f t="shared" si="29"/>
        <v>0</v>
      </c>
      <c r="H80" s="41">
        <f t="shared" si="30"/>
        <v>0</v>
      </c>
      <c r="I80" s="41">
        <f t="shared" si="31"/>
        <v>3.1719532554257093E-2</v>
      </c>
      <c r="J80" s="41">
        <f t="shared" si="32"/>
        <v>0.27053571428571427</v>
      </c>
      <c r="K80" s="41">
        <f t="shared" si="33"/>
        <v>0.46438746438746437</v>
      </c>
      <c r="L80" s="40">
        <f t="shared" si="34"/>
        <v>0</v>
      </c>
      <c r="M80" s="40">
        <f t="shared" si="35"/>
        <v>8.8888888888888893E-4</v>
      </c>
      <c r="N80" s="40">
        <f t="shared" si="36"/>
        <v>0</v>
      </c>
      <c r="O80" s="40">
        <f t="shared" si="37"/>
        <v>0</v>
      </c>
      <c r="P80" s="35">
        <f t="shared" si="42"/>
        <v>0</v>
      </c>
      <c r="Q80" s="35">
        <f t="shared" si="43"/>
        <v>0</v>
      </c>
      <c r="R80" s="35">
        <f t="shared" si="44"/>
        <v>0</v>
      </c>
      <c r="S80" s="35">
        <f t="shared" si="45"/>
        <v>0</v>
      </c>
      <c r="T80" s="40">
        <f t="shared" si="38"/>
        <v>0</v>
      </c>
      <c r="U80" s="40">
        <f t="shared" si="39"/>
        <v>0</v>
      </c>
      <c r="V80" s="40">
        <f t="shared" si="40"/>
        <v>0</v>
      </c>
      <c r="W80" s="40">
        <f t="shared" si="41"/>
        <v>0</v>
      </c>
      <c r="X80" s="35">
        <f t="shared" si="46"/>
        <v>0</v>
      </c>
      <c r="Y80" s="35">
        <f t="shared" si="47"/>
        <v>0</v>
      </c>
      <c r="Z80" s="35">
        <f t="shared" si="48"/>
        <v>0</v>
      </c>
      <c r="AA80" s="35">
        <f t="shared" si="49"/>
        <v>0</v>
      </c>
      <c r="AB80" s="40">
        <f t="shared" si="50"/>
        <v>0</v>
      </c>
      <c r="AC80" s="40">
        <f t="shared" si="51"/>
        <v>0</v>
      </c>
      <c r="AD80" s="40">
        <f t="shared" si="52"/>
        <v>0</v>
      </c>
      <c r="AE80" s="40">
        <f t="shared" si="53"/>
        <v>0</v>
      </c>
      <c r="AF80" s="35">
        <f t="shared" si="54"/>
        <v>3.7453183520599251E-3</v>
      </c>
      <c r="AG80" s="35">
        <f t="shared" si="55"/>
        <v>5.2770448548812663E-3</v>
      </c>
      <c r="AH80" s="35">
        <f t="shared" si="56"/>
        <v>0</v>
      </c>
      <c r="AI80" s="35">
        <f t="shared" si="57"/>
        <v>0</v>
      </c>
      <c r="AJ80" s="40">
        <f t="shared" si="58"/>
        <v>0</v>
      </c>
      <c r="AK80" s="40">
        <f t="shared" si="59"/>
        <v>0</v>
      </c>
      <c r="AL80" s="40">
        <f t="shared" si="60"/>
        <v>0</v>
      </c>
      <c r="AM80" s="40">
        <f t="shared" si="61"/>
        <v>0</v>
      </c>
      <c r="AN80" s="35">
        <f t="shared" si="62"/>
        <v>0</v>
      </c>
      <c r="AO80" s="35">
        <f t="shared" si="63"/>
        <v>0</v>
      </c>
      <c r="AP80" s="35">
        <f t="shared" si="64"/>
        <v>0</v>
      </c>
      <c r="AQ80" s="35">
        <f t="shared" si="65"/>
        <v>0</v>
      </c>
    </row>
    <row r="81" spans="1:47" x14ac:dyDescent="0.25">
      <c r="A81" s="21" t="str">
        <f>"% 2135 (Inter-Mountain Basins Semi-Desert Grassland)"</f>
        <v>% 2135 (Inter-Mountain Basins Semi-Desert Grassland)</v>
      </c>
      <c r="B81" s="35">
        <f t="shared" si="24"/>
        <v>1.9907100199071004E-3</v>
      </c>
      <c r="C81" s="35">
        <f t="shared" si="25"/>
        <v>2.1739130434782608E-2</v>
      </c>
      <c r="D81" s="35">
        <f t="shared" si="26"/>
        <v>2.4882903981264637E-2</v>
      </c>
      <c r="E81" s="39">
        <f t="shared" si="27"/>
        <v>1.606425702811245E-3</v>
      </c>
      <c r="F81" s="40">
        <f t="shared" si="28"/>
        <v>1.2469831053901851E-2</v>
      </c>
      <c r="G81" s="40">
        <f t="shared" si="29"/>
        <v>4.4907778668805132E-2</v>
      </c>
      <c r="H81" s="41">
        <f t="shared" si="30"/>
        <v>0</v>
      </c>
      <c r="I81" s="41">
        <f t="shared" si="31"/>
        <v>0</v>
      </c>
      <c r="J81" s="41">
        <f t="shared" si="32"/>
        <v>0</v>
      </c>
      <c r="K81" s="41">
        <f t="shared" si="33"/>
        <v>0</v>
      </c>
      <c r="L81" s="40">
        <f t="shared" si="34"/>
        <v>3.5286704473850031E-2</v>
      </c>
      <c r="M81" s="40">
        <f t="shared" si="35"/>
        <v>8.2666666666666666E-2</v>
      </c>
      <c r="N81" s="40">
        <f t="shared" si="36"/>
        <v>0.14697926059513075</v>
      </c>
      <c r="O81" s="40">
        <f t="shared" si="37"/>
        <v>0.52967320261437911</v>
      </c>
      <c r="P81" s="35">
        <f t="shared" si="42"/>
        <v>0</v>
      </c>
      <c r="Q81" s="35">
        <f t="shared" si="43"/>
        <v>0</v>
      </c>
      <c r="R81" s="35">
        <f t="shared" si="44"/>
        <v>0</v>
      </c>
      <c r="S81" s="35">
        <f t="shared" si="45"/>
        <v>0</v>
      </c>
      <c r="T81" s="40">
        <f t="shared" si="38"/>
        <v>0</v>
      </c>
      <c r="U81" s="40">
        <f t="shared" si="39"/>
        <v>1.1634056054997356E-2</v>
      </c>
      <c r="V81" s="40">
        <f t="shared" si="40"/>
        <v>3.7374658158614404E-2</v>
      </c>
      <c r="W81" s="40">
        <f t="shared" si="41"/>
        <v>0.27045075125208679</v>
      </c>
      <c r="X81" s="35">
        <f t="shared" si="46"/>
        <v>0</v>
      </c>
      <c r="Y81" s="35">
        <f t="shared" si="47"/>
        <v>0</v>
      </c>
      <c r="Z81" s="35">
        <f t="shared" si="48"/>
        <v>0</v>
      </c>
      <c r="AA81" s="35">
        <f t="shared" si="49"/>
        <v>0</v>
      </c>
      <c r="AB81" s="40">
        <f t="shared" si="50"/>
        <v>3.0578512396694214E-2</v>
      </c>
      <c r="AC81" s="40">
        <f t="shared" si="51"/>
        <v>4.3130990415335461E-2</v>
      </c>
      <c r="AD81" s="40">
        <f t="shared" si="52"/>
        <v>6.0721062618595827E-2</v>
      </c>
      <c r="AE81" s="40">
        <f t="shared" si="53"/>
        <v>7.1074380165289261E-2</v>
      </c>
      <c r="AF81" s="35">
        <f t="shared" si="54"/>
        <v>2.6217228464419477E-2</v>
      </c>
      <c r="AG81" s="35">
        <f t="shared" si="55"/>
        <v>5.0131926121372031E-2</v>
      </c>
      <c r="AH81" s="35">
        <f t="shared" si="56"/>
        <v>0.10687022900763359</v>
      </c>
      <c r="AI81" s="35">
        <f t="shared" si="57"/>
        <v>0.3119447186574531</v>
      </c>
      <c r="AJ81" s="40">
        <f t="shared" si="58"/>
        <v>0</v>
      </c>
      <c r="AK81" s="40">
        <f t="shared" si="59"/>
        <v>0</v>
      </c>
      <c r="AL81" s="40">
        <f t="shared" si="60"/>
        <v>0</v>
      </c>
      <c r="AM81" s="40">
        <f t="shared" si="61"/>
        <v>0</v>
      </c>
      <c r="AN81" s="35">
        <f t="shared" si="62"/>
        <v>0</v>
      </c>
      <c r="AO81" s="35">
        <f t="shared" si="63"/>
        <v>0</v>
      </c>
      <c r="AP81" s="35">
        <f t="shared" si="64"/>
        <v>0</v>
      </c>
      <c r="AQ81" s="35">
        <f t="shared" si="65"/>
        <v>0</v>
      </c>
    </row>
    <row r="82" spans="1:47" x14ac:dyDescent="0.25">
      <c r="A82" s="21" t="str">
        <f>"% 2139 (Northern Rocky Mountain Lower Montane-Foothill-Valley Grassland)"</f>
        <v>% 2139 (Northern Rocky Mountain Lower Montane-Foothill-Valley Grassland)</v>
      </c>
      <c r="B82" s="35">
        <f t="shared" si="24"/>
        <v>0</v>
      </c>
      <c r="C82" s="35">
        <f t="shared" si="25"/>
        <v>0</v>
      </c>
      <c r="D82" s="35">
        <f t="shared" si="26"/>
        <v>0</v>
      </c>
      <c r="E82" s="39">
        <f t="shared" si="27"/>
        <v>0</v>
      </c>
      <c r="F82" s="40">
        <f t="shared" si="28"/>
        <v>0</v>
      </c>
      <c r="G82" s="40">
        <f t="shared" si="29"/>
        <v>0</v>
      </c>
      <c r="H82" s="41">
        <f t="shared" si="30"/>
        <v>0</v>
      </c>
      <c r="I82" s="41">
        <f t="shared" si="31"/>
        <v>0</v>
      </c>
      <c r="J82" s="41">
        <f t="shared" si="32"/>
        <v>0</v>
      </c>
      <c r="K82" s="41">
        <f t="shared" si="33"/>
        <v>0</v>
      </c>
      <c r="L82" s="40">
        <f t="shared" si="34"/>
        <v>0</v>
      </c>
      <c r="M82" s="40">
        <f t="shared" si="35"/>
        <v>0</v>
      </c>
      <c r="N82" s="40">
        <f t="shared" si="36"/>
        <v>0</v>
      </c>
      <c r="O82" s="40">
        <f t="shared" si="37"/>
        <v>0</v>
      </c>
      <c r="P82" s="35">
        <f t="shared" si="42"/>
        <v>0</v>
      </c>
      <c r="Q82" s="35">
        <f t="shared" si="43"/>
        <v>0</v>
      </c>
      <c r="R82" s="35">
        <f t="shared" si="44"/>
        <v>0</v>
      </c>
      <c r="S82" s="35">
        <f t="shared" si="45"/>
        <v>0</v>
      </c>
      <c r="T82" s="40">
        <f t="shared" si="38"/>
        <v>0</v>
      </c>
      <c r="U82" s="40">
        <f t="shared" si="39"/>
        <v>0</v>
      </c>
      <c r="V82" s="40">
        <f t="shared" si="40"/>
        <v>0</v>
      </c>
      <c r="W82" s="40">
        <f t="shared" si="41"/>
        <v>0</v>
      </c>
      <c r="X82" s="35">
        <f t="shared" si="46"/>
        <v>0</v>
      </c>
      <c r="Y82" s="35">
        <f t="shared" si="47"/>
        <v>0</v>
      </c>
      <c r="Z82" s="35">
        <f t="shared" si="48"/>
        <v>0</v>
      </c>
      <c r="AA82" s="35">
        <f t="shared" si="49"/>
        <v>0</v>
      </c>
      <c r="AB82" s="40">
        <f t="shared" si="50"/>
        <v>0</v>
      </c>
      <c r="AC82" s="40">
        <f t="shared" si="51"/>
        <v>0</v>
      </c>
      <c r="AD82" s="40">
        <f t="shared" si="52"/>
        <v>0</v>
      </c>
      <c r="AE82" s="40">
        <f t="shared" si="53"/>
        <v>0</v>
      </c>
      <c r="AF82" s="35">
        <f t="shared" si="54"/>
        <v>0</v>
      </c>
      <c r="AG82" s="35">
        <f t="shared" si="55"/>
        <v>0</v>
      </c>
      <c r="AH82" s="35">
        <f t="shared" si="56"/>
        <v>0</v>
      </c>
      <c r="AI82" s="35">
        <f t="shared" si="57"/>
        <v>0</v>
      </c>
      <c r="AJ82" s="40">
        <f t="shared" si="58"/>
        <v>0</v>
      </c>
      <c r="AK82" s="40">
        <f t="shared" si="59"/>
        <v>0</v>
      </c>
      <c r="AL82" s="40">
        <f t="shared" si="60"/>
        <v>0</v>
      </c>
      <c r="AM82" s="40">
        <f t="shared" si="61"/>
        <v>0</v>
      </c>
      <c r="AN82" s="35">
        <f t="shared" si="62"/>
        <v>0</v>
      </c>
      <c r="AO82" s="35">
        <f t="shared" si="63"/>
        <v>0</v>
      </c>
      <c r="AP82" s="35">
        <f t="shared" si="64"/>
        <v>0</v>
      </c>
      <c r="AQ82" s="35">
        <f t="shared" si="65"/>
        <v>0</v>
      </c>
    </row>
    <row r="83" spans="1:47" x14ac:dyDescent="0.25">
      <c r="A83" s="17"/>
      <c r="B83" s="35"/>
      <c r="C83" s="35"/>
      <c r="D83" s="35"/>
      <c r="E83" s="39"/>
      <c r="F83" s="40"/>
      <c r="G83" s="40"/>
      <c r="H83" s="41"/>
      <c r="I83" s="41"/>
      <c r="J83" s="41"/>
      <c r="K83" s="41"/>
      <c r="L83" s="40"/>
      <c r="M83" s="40"/>
      <c r="N83" s="40"/>
      <c r="O83" s="40"/>
      <c r="P83" s="72"/>
      <c r="Q83" s="72"/>
      <c r="R83" s="72"/>
      <c r="S83" s="72"/>
      <c r="T83" s="40"/>
      <c r="U83" s="40"/>
      <c r="V83" s="40"/>
      <c r="W83" s="40"/>
      <c r="X83" s="35"/>
      <c r="Y83" s="35"/>
      <c r="Z83" s="35"/>
      <c r="AA83" s="35"/>
      <c r="AB83" s="40"/>
      <c r="AC83" s="40"/>
      <c r="AD83" s="40"/>
      <c r="AE83" s="40"/>
      <c r="AF83" s="35"/>
      <c r="AG83" s="35"/>
      <c r="AH83" s="35"/>
      <c r="AI83" s="35"/>
      <c r="AJ83" s="40"/>
      <c r="AK83" s="40"/>
      <c r="AL83" s="40"/>
      <c r="AM83" s="40"/>
      <c r="AN83" s="35"/>
      <c r="AO83" s="35"/>
      <c r="AP83" s="35"/>
      <c r="AQ83" s="35"/>
    </row>
    <row r="84" spans="1:47" x14ac:dyDescent="0.25">
      <c r="A84" s="17"/>
      <c r="B84" s="35"/>
      <c r="C84" s="35"/>
      <c r="D84" s="35"/>
      <c r="E84" s="39"/>
      <c r="F84" s="40"/>
      <c r="G84" s="40"/>
      <c r="H84" s="41"/>
      <c r="I84" s="41"/>
      <c r="J84" s="41"/>
      <c r="K84" s="41"/>
      <c r="L84" s="40"/>
      <c r="M84" s="40"/>
      <c r="N84" s="40"/>
      <c r="O84" s="40"/>
      <c r="P84" s="72"/>
      <c r="Q84" s="72"/>
      <c r="R84" s="72"/>
      <c r="S84" s="72"/>
      <c r="T84" s="40"/>
      <c r="U84" s="40"/>
      <c r="V84" s="40"/>
      <c r="W84" s="40"/>
      <c r="X84" s="35"/>
      <c r="Y84" s="35"/>
      <c r="Z84" s="35"/>
      <c r="AA84" s="35"/>
      <c r="AB84" s="40"/>
      <c r="AC84" s="40"/>
      <c r="AD84" s="40"/>
      <c r="AE84" s="40"/>
      <c r="AF84" s="35"/>
      <c r="AG84" s="35"/>
      <c r="AH84" s="35"/>
      <c r="AI84" s="35"/>
      <c r="AJ84" s="40"/>
      <c r="AK84" s="40"/>
      <c r="AL84" s="40"/>
      <c r="AM84" s="40"/>
      <c r="AN84" s="35"/>
      <c r="AO84" s="35"/>
      <c r="AP84" s="35"/>
      <c r="AQ84" s="35"/>
    </row>
    <row r="85" spans="1:47" x14ac:dyDescent="0.25">
      <c r="A85" s="10" t="str">
        <f>"% mixed (2049, 2051, 2052, 2055, 2061)"</f>
        <v>% mixed (2049, 2051, 2052, 2055, 2061)</v>
      </c>
      <c r="B85" s="35">
        <f>B63/1507</f>
        <v>0.40477770404777702</v>
      </c>
      <c r="C85" s="35">
        <f>C63/46</f>
        <v>0.45652173913043476</v>
      </c>
      <c r="D85" s="35">
        <f>D63/3416</f>
        <v>0.51375878220140514</v>
      </c>
      <c r="E85" s="39">
        <f>E63/1245</f>
        <v>0.37831325301204821</v>
      </c>
      <c r="F85" s="40">
        <f>F63/2486</f>
        <v>0.46379726468222043</v>
      </c>
      <c r="G85" s="40">
        <f>G63/1247</f>
        <v>0.61587810745789895</v>
      </c>
      <c r="H85" s="41">
        <f>H63/116</f>
        <v>0.25</v>
      </c>
      <c r="I85" s="41">
        <f>I63/599</f>
        <v>0.1669449081803005</v>
      </c>
      <c r="J85" s="41">
        <f>J63/1120</f>
        <v>1.1607142857142858E-2</v>
      </c>
      <c r="K85" s="41">
        <f t="shared" ref="K85:K89" si="66">K63/1053</f>
        <v>1.8993352326685661E-3</v>
      </c>
      <c r="L85" s="40">
        <f>L63/1587</f>
        <v>0.5425330812854442</v>
      </c>
      <c r="M85" s="40">
        <f>M63/1125</f>
        <v>0.60355555555555551</v>
      </c>
      <c r="N85" s="40">
        <f>N63/2218</f>
        <v>0.57889990982867445</v>
      </c>
      <c r="O85" s="40">
        <f>O63/3825</f>
        <v>0.25176470588235295</v>
      </c>
      <c r="P85" s="35">
        <f>P63/462</f>
        <v>0.13636363636363635</v>
      </c>
      <c r="Q85" s="35">
        <f>Q63/717</f>
        <v>0.26778242677824265</v>
      </c>
      <c r="R85" s="35">
        <f>R63/768</f>
        <v>0.36328125</v>
      </c>
      <c r="S85" s="35">
        <f>S63/769</f>
        <v>0.40182054616384916</v>
      </c>
      <c r="T85" s="40">
        <f>T63/1367</f>
        <v>0.14264813460131676</v>
      </c>
      <c r="U85" s="40">
        <f>U63/1891</f>
        <v>0.15970386039132733</v>
      </c>
      <c r="V85" s="40">
        <f>V63/1097</f>
        <v>0.2187784867821331</v>
      </c>
      <c r="W85" s="40">
        <f>W63/599</f>
        <v>0.1636060100166945</v>
      </c>
      <c r="X85" s="35">
        <f t="shared" si="46"/>
        <v>0.24451754385964913</v>
      </c>
      <c r="Y85" s="35">
        <f t="shared" si="47"/>
        <v>0.2125984251968504</v>
      </c>
      <c r="Z85" s="35">
        <f t="shared" si="48"/>
        <v>0.22907488986784141</v>
      </c>
      <c r="AA85" s="35">
        <f t="shared" si="49"/>
        <v>0.26008968609865468</v>
      </c>
      <c r="AB85" s="40">
        <f t="shared" si="50"/>
        <v>0.33719008264462808</v>
      </c>
      <c r="AC85" s="40">
        <f t="shared" si="51"/>
        <v>0.32268370607028751</v>
      </c>
      <c r="AD85" s="40">
        <f t="shared" si="52"/>
        <v>0.25616698292220114</v>
      </c>
      <c r="AE85" s="40">
        <f t="shared" si="53"/>
        <v>0.10578512396694215</v>
      </c>
      <c r="AF85" s="35">
        <f t="shared" si="54"/>
        <v>0.25343320848938827</v>
      </c>
      <c r="AG85" s="35">
        <f t="shared" si="55"/>
        <v>0.25329815303430081</v>
      </c>
      <c r="AH85" s="35">
        <f t="shared" si="56"/>
        <v>0.28702290076335879</v>
      </c>
      <c r="AI85" s="35">
        <f t="shared" si="57"/>
        <v>0.16090819348469892</v>
      </c>
      <c r="AJ85" s="40">
        <f t="shared" si="58"/>
        <v>0.85536547433903576</v>
      </c>
      <c r="AK85" s="40">
        <f t="shared" si="59"/>
        <v>0.77063339731285985</v>
      </c>
      <c r="AL85" s="40">
        <f t="shared" si="60"/>
        <v>0.84830805134189036</v>
      </c>
      <c r="AM85" s="40">
        <f t="shared" si="61"/>
        <v>1.0132743362831858</v>
      </c>
      <c r="AN85" s="35">
        <f t="shared" si="62"/>
        <v>0.23592085235920851</v>
      </c>
      <c r="AO85" s="35">
        <f t="shared" si="63"/>
        <v>0.18850380388841928</v>
      </c>
      <c r="AP85" s="35">
        <f t="shared" si="64"/>
        <v>0.28924598269468482</v>
      </c>
      <c r="AQ85" s="35">
        <f t="shared" si="65"/>
        <v>0.38227146814404434</v>
      </c>
    </row>
    <row r="86" spans="1:47" x14ac:dyDescent="0.25">
      <c r="A86" s="10" t="s">
        <v>35</v>
      </c>
      <c r="B86" s="35">
        <f>B64/1507</f>
        <v>0.25481088254810885</v>
      </c>
      <c r="C86" s="35">
        <f>C64/46</f>
        <v>4.3478260869565216E-2</v>
      </c>
      <c r="D86" s="35">
        <f>D64/3416</f>
        <v>0.24385245901639344</v>
      </c>
      <c r="E86" s="39">
        <f>E64/1245</f>
        <v>0.20963855421686747</v>
      </c>
      <c r="F86" s="40">
        <f>F64/2486</f>
        <v>0.25181013676588898</v>
      </c>
      <c r="G86" s="40">
        <f>G64/1247</f>
        <v>0.26704089815557336</v>
      </c>
      <c r="H86" s="41">
        <f>H64/116</f>
        <v>0</v>
      </c>
      <c r="I86" s="41">
        <f>I64/599</f>
        <v>1.001669449081803E-2</v>
      </c>
      <c r="J86" s="41">
        <f>J64/1120</f>
        <v>0</v>
      </c>
      <c r="K86" s="41">
        <f t="shared" si="66"/>
        <v>0</v>
      </c>
      <c r="L86" s="40">
        <f>L64/1587</f>
        <v>6.3011972274732201E-4</v>
      </c>
      <c r="M86" s="40">
        <f>M64/1125</f>
        <v>0</v>
      </c>
      <c r="N86" s="40">
        <f>N64/2218</f>
        <v>9.0171325518485117E-4</v>
      </c>
      <c r="O86" s="40">
        <f>O64/3825</f>
        <v>2.6143790849673205E-4</v>
      </c>
      <c r="P86" s="35">
        <f t="shared" ref="P86:P89" si="67">P64/462</f>
        <v>0.57359307359307354</v>
      </c>
      <c r="Q86" s="35">
        <f t="shared" ref="Q86:Q89" si="68">Q64/717</f>
        <v>0.59972105997210601</v>
      </c>
      <c r="R86" s="35">
        <f t="shared" ref="R86:R89" si="69">R64/768</f>
        <v>0.61848958333333337</v>
      </c>
      <c r="S86" s="35">
        <f t="shared" ref="S86:S89" si="70">S64/769</f>
        <v>0.60208062418725616</v>
      </c>
      <c r="T86" s="40">
        <f>T64/1367</f>
        <v>0</v>
      </c>
      <c r="U86" s="40">
        <f>U64/1891</f>
        <v>0</v>
      </c>
      <c r="V86" s="40">
        <f>V64/1097</f>
        <v>0</v>
      </c>
      <c r="W86" s="40">
        <f>W64/599</f>
        <v>0</v>
      </c>
      <c r="X86" s="35">
        <f t="shared" si="46"/>
        <v>3.6184210526315791E-2</v>
      </c>
      <c r="Y86" s="35">
        <f t="shared" si="47"/>
        <v>5.905511811023622E-3</v>
      </c>
      <c r="Z86" s="35">
        <f t="shared" si="48"/>
        <v>7.3421439060205578E-3</v>
      </c>
      <c r="AA86" s="35">
        <f t="shared" si="49"/>
        <v>3.3632286995515697E-3</v>
      </c>
      <c r="AB86" s="40">
        <f t="shared" si="50"/>
        <v>0.15041322314049588</v>
      </c>
      <c r="AC86" s="40">
        <f t="shared" si="51"/>
        <v>0.15654952076677317</v>
      </c>
      <c r="AD86" s="40">
        <f t="shared" si="52"/>
        <v>0.15559772296015181</v>
      </c>
      <c r="AE86" s="40">
        <f t="shared" si="53"/>
        <v>0.10743801652892562</v>
      </c>
      <c r="AF86" s="35">
        <f t="shared" si="54"/>
        <v>6.2421972534332081E-3</v>
      </c>
      <c r="AG86" s="35">
        <f t="shared" si="55"/>
        <v>7.9155672823219003E-3</v>
      </c>
      <c r="AH86" s="35">
        <f t="shared" si="56"/>
        <v>1.6793893129770993E-2</v>
      </c>
      <c r="AI86" s="35">
        <f t="shared" si="57"/>
        <v>6.9101678183613032E-3</v>
      </c>
      <c r="AJ86" s="40">
        <f t="shared" si="58"/>
        <v>9.3312597200622092E-3</v>
      </c>
      <c r="AK86" s="40">
        <f t="shared" si="59"/>
        <v>0</v>
      </c>
      <c r="AL86" s="40">
        <f t="shared" si="60"/>
        <v>0</v>
      </c>
      <c r="AM86" s="40">
        <f t="shared" si="61"/>
        <v>4.4247787610619468E-3</v>
      </c>
      <c r="AN86" s="35">
        <f t="shared" si="62"/>
        <v>1.8264840182648401E-2</v>
      </c>
      <c r="AO86" s="35">
        <f t="shared" si="63"/>
        <v>3.634826711749789E-2</v>
      </c>
      <c r="AP86" s="35">
        <f t="shared" si="64"/>
        <v>5.5624227441285541E-2</v>
      </c>
      <c r="AQ86" s="35">
        <f t="shared" si="65"/>
        <v>4.4321329639889197E-2</v>
      </c>
    </row>
    <row r="87" spans="1:47" x14ac:dyDescent="0.25">
      <c r="A87" s="10" t="s">
        <v>36</v>
      </c>
      <c r="B87" s="35">
        <f>B65/1507</f>
        <v>0.27737226277372262</v>
      </c>
      <c r="C87" s="35">
        <f>C65/46</f>
        <v>0.45652173913043476</v>
      </c>
      <c r="D87" s="35">
        <f>D65/3416</f>
        <v>0.2066744730679157</v>
      </c>
      <c r="E87" s="39">
        <f>E65/1245</f>
        <v>0.3429718875502008</v>
      </c>
      <c r="F87" s="40">
        <f>F65/2486</f>
        <v>0.25744167337087692</v>
      </c>
      <c r="G87" s="40">
        <f>G65/1247</f>
        <v>6.4153969526864474E-2</v>
      </c>
      <c r="H87" s="41">
        <f>H65/116</f>
        <v>0.43965517241379309</v>
      </c>
      <c r="I87" s="41">
        <f>I65/599</f>
        <v>0.54590984974958268</v>
      </c>
      <c r="J87" s="41">
        <f>J65/1120</f>
        <v>0.31428571428571428</v>
      </c>
      <c r="K87" s="41">
        <f t="shared" si="66"/>
        <v>0.46723646723646722</v>
      </c>
      <c r="L87" s="40">
        <f>L65/1587</f>
        <v>0.2551984877126654</v>
      </c>
      <c r="M87" s="40">
        <f>M65/1125</f>
        <v>0.224</v>
      </c>
      <c r="N87" s="40">
        <f>N65/2218</f>
        <v>0.17538322813345356</v>
      </c>
      <c r="O87" s="40">
        <f>O65/3825</f>
        <v>6.431372549019608E-2</v>
      </c>
      <c r="P87" s="35">
        <f t="shared" si="67"/>
        <v>0.66450216450216448</v>
      </c>
      <c r="Q87" s="35">
        <f t="shared" si="68"/>
        <v>0.80892608089260809</v>
      </c>
      <c r="R87" s="35">
        <f t="shared" si="69"/>
        <v>0.78645833333333337</v>
      </c>
      <c r="S87" s="35">
        <f t="shared" si="70"/>
        <v>0.70091027308192455</v>
      </c>
      <c r="T87" s="40">
        <f>T65/1367</f>
        <v>0.16239941477688369</v>
      </c>
      <c r="U87" s="40">
        <f>U65/1891</f>
        <v>0.23691168693812797</v>
      </c>
      <c r="V87" s="40">
        <f>V65/1097</f>
        <v>0.31540565177757518</v>
      </c>
      <c r="W87" s="40">
        <f>W65/599</f>
        <v>0.32554257095158595</v>
      </c>
      <c r="X87" s="35">
        <f t="shared" si="46"/>
        <v>0.61842105263157898</v>
      </c>
      <c r="Y87" s="35">
        <f t="shared" si="47"/>
        <v>0.71850393700787396</v>
      </c>
      <c r="Z87" s="35">
        <f t="shared" si="48"/>
        <v>0.74596182085168872</v>
      </c>
      <c r="AA87" s="35">
        <f t="shared" si="49"/>
        <v>0.73094170403587444</v>
      </c>
      <c r="AB87" s="40">
        <f t="shared" si="50"/>
        <v>0.30826446280991737</v>
      </c>
      <c r="AC87" s="40">
        <f t="shared" si="51"/>
        <v>0.2539936102236422</v>
      </c>
      <c r="AD87" s="40">
        <f t="shared" si="52"/>
        <v>0.19734345351043645</v>
      </c>
      <c r="AE87" s="40">
        <f t="shared" si="53"/>
        <v>4.1322314049586778E-2</v>
      </c>
      <c r="AF87" s="35">
        <f t="shared" si="54"/>
        <v>0.54931335830212236</v>
      </c>
      <c r="AG87" s="35">
        <f t="shared" si="55"/>
        <v>0.53562005277044855</v>
      </c>
      <c r="AH87" s="35">
        <f t="shared" si="56"/>
        <v>0.43206106870229005</v>
      </c>
      <c r="AI87" s="35">
        <f t="shared" si="57"/>
        <v>0.2102665350444225</v>
      </c>
      <c r="AJ87" s="40">
        <f t="shared" si="58"/>
        <v>9.3312597200622086E-2</v>
      </c>
      <c r="AK87" s="40">
        <f t="shared" si="59"/>
        <v>0.21785028790786948</v>
      </c>
      <c r="AL87" s="40">
        <f t="shared" si="60"/>
        <v>0.21703617269544925</v>
      </c>
      <c r="AM87" s="40">
        <f t="shared" si="61"/>
        <v>0.15486725663716813</v>
      </c>
      <c r="AN87" s="35">
        <f t="shared" si="62"/>
        <v>0.35464231354642312</v>
      </c>
      <c r="AO87" s="35">
        <f t="shared" si="63"/>
        <v>0.52155536770921385</v>
      </c>
      <c r="AP87" s="35">
        <f t="shared" si="64"/>
        <v>0.61310259579728055</v>
      </c>
      <c r="AQ87" s="35">
        <f t="shared" si="65"/>
        <v>0.56786703601108035</v>
      </c>
    </row>
    <row r="88" spans="1:47" x14ac:dyDescent="0.25">
      <c r="A88" s="10" t="s">
        <v>37</v>
      </c>
      <c r="B88" s="35">
        <f>B66/1507</f>
        <v>4.9767750497677503E-2</v>
      </c>
      <c r="C88" s="35">
        <f>C66/46</f>
        <v>2.1739130434782608E-2</v>
      </c>
      <c r="D88" s="35">
        <f>D66/3416</f>
        <v>1.756440281030445E-3</v>
      </c>
      <c r="E88" s="39">
        <f>E66/1245</f>
        <v>5.6224899598393573E-2</v>
      </c>
      <c r="F88" s="40">
        <f>F66/2486</f>
        <v>4.8270313757039418E-3</v>
      </c>
      <c r="G88" s="40">
        <f>G66/1247</f>
        <v>0</v>
      </c>
      <c r="H88" s="41">
        <f>H66/116</f>
        <v>1.7241379310344827E-2</v>
      </c>
      <c r="I88" s="41">
        <f>I66/599</f>
        <v>1.6694490818030051E-3</v>
      </c>
      <c r="J88" s="41">
        <f>J66/1120</f>
        <v>0</v>
      </c>
      <c r="K88" s="41">
        <f t="shared" si="66"/>
        <v>0</v>
      </c>
      <c r="L88" s="40">
        <f>L66/1587</f>
        <v>0</v>
      </c>
      <c r="M88" s="40">
        <f>M66/1125</f>
        <v>0</v>
      </c>
      <c r="N88" s="40">
        <f>N66/2218</f>
        <v>0</v>
      </c>
      <c r="O88" s="40">
        <f>O66/3825</f>
        <v>0</v>
      </c>
      <c r="P88" s="35">
        <f t="shared" si="67"/>
        <v>0.14935064935064934</v>
      </c>
      <c r="Q88" s="35">
        <f t="shared" si="68"/>
        <v>9.3444909344490928E-2</v>
      </c>
      <c r="R88" s="35">
        <f t="shared" si="69"/>
        <v>4.9479166666666664E-2</v>
      </c>
      <c r="S88" s="35">
        <f t="shared" si="70"/>
        <v>4.1612483745123538E-2</v>
      </c>
      <c r="T88" s="40">
        <f>T66/1367</f>
        <v>0</v>
      </c>
      <c r="U88" s="40">
        <f>U66/1891</f>
        <v>0</v>
      </c>
      <c r="V88" s="40">
        <f>V66/1097</f>
        <v>0</v>
      </c>
      <c r="W88" s="40">
        <f>W66/599</f>
        <v>0</v>
      </c>
      <c r="X88" s="35">
        <f t="shared" si="46"/>
        <v>2.3026315789473683E-2</v>
      </c>
      <c r="Y88" s="35">
        <f t="shared" si="47"/>
        <v>9.8425196850393699E-3</v>
      </c>
      <c r="Z88" s="35">
        <f t="shared" si="48"/>
        <v>1.4684287812041115E-3</v>
      </c>
      <c r="AA88" s="35">
        <f t="shared" si="49"/>
        <v>0</v>
      </c>
      <c r="AB88" s="40">
        <f t="shared" si="50"/>
        <v>0</v>
      </c>
      <c r="AC88" s="40">
        <f t="shared" si="51"/>
        <v>0</v>
      </c>
      <c r="AD88" s="40">
        <f t="shared" si="52"/>
        <v>0</v>
      </c>
      <c r="AE88" s="40">
        <f t="shared" si="53"/>
        <v>0</v>
      </c>
      <c r="AF88" s="35">
        <f t="shared" si="54"/>
        <v>0</v>
      </c>
      <c r="AG88" s="35">
        <f t="shared" si="55"/>
        <v>0</v>
      </c>
      <c r="AH88" s="35">
        <f t="shared" si="56"/>
        <v>0</v>
      </c>
      <c r="AI88" s="35">
        <f t="shared" si="57"/>
        <v>0</v>
      </c>
      <c r="AJ88" s="40">
        <f t="shared" si="58"/>
        <v>0</v>
      </c>
      <c r="AK88" s="40">
        <f t="shared" si="59"/>
        <v>1.9193857965451055E-3</v>
      </c>
      <c r="AL88" s="40">
        <f t="shared" si="60"/>
        <v>0</v>
      </c>
      <c r="AM88" s="40">
        <f t="shared" si="61"/>
        <v>0</v>
      </c>
      <c r="AN88" s="35">
        <f t="shared" si="62"/>
        <v>8.0669710806697104E-2</v>
      </c>
      <c r="AO88" s="35">
        <f t="shared" si="63"/>
        <v>5.2409129332206254E-2</v>
      </c>
      <c r="AP88" s="35">
        <f t="shared" si="64"/>
        <v>2.472187886279357E-3</v>
      </c>
      <c r="AQ88" s="35">
        <f t="shared" si="65"/>
        <v>0</v>
      </c>
    </row>
    <row r="89" spans="1:47" x14ac:dyDescent="0.25">
      <c r="A89" s="10" t="s">
        <v>38</v>
      </c>
      <c r="B89" s="35">
        <f>B67/1507</f>
        <v>1.9907100199071004E-3</v>
      </c>
      <c r="C89" s="35">
        <f>C67/46</f>
        <v>2.1739130434782608E-2</v>
      </c>
      <c r="D89" s="35">
        <f>D67/3416</f>
        <v>2.4882903981264637E-2</v>
      </c>
      <c r="E89" s="39">
        <f>E67/1245</f>
        <v>1.606425702811245E-3</v>
      </c>
      <c r="F89" s="40">
        <f>F67/2486</f>
        <v>1.2469831053901851E-2</v>
      </c>
      <c r="G89" s="40">
        <f>G67/1247</f>
        <v>4.4907778668805132E-2</v>
      </c>
      <c r="H89" s="41">
        <f>H67/116</f>
        <v>0</v>
      </c>
      <c r="I89" s="41">
        <f>I67/599</f>
        <v>0</v>
      </c>
      <c r="J89" s="41">
        <f>J67/1120</f>
        <v>0</v>
      </c>
      <c r="K89" s="41">
        <f t="shared" si="66"/>
        <v>0</v>
      </c>
      <c r="L89" s="40">
        <f>L67/1587</f>
        <v>3.5286704473850031E-2</v>
      </c>
      <c r="M89" s="40">
        <f>M67/1125</f>
        <v>8.2666666666666666E-2</v>
      </c>
      <c r="N89" s="40">
        <f>N67/2218</f>
        <v>0.14697926059513075</v>
      </c>
      <c r="O89" s="40">
        <f>O67/3825</f>
        <v>0.52967320261437911</v>
      </c>
      <c r="P89" s="35">
        <f t="shared" si="67"/>
        <v>0.55627705627705626</v>
      </c>
      <c r="Q89" s="35">
        <f t="shared" si="68"/>
        <v>0.55230125523012552</v>
      </c>
      <c r="R89" s="35">
        <f t="shared" si="69"/>
        <v>0.4921875</v>
      </c>
      <c r="S89" s="35">
        <f t="shared" si="70"/>
        <v>0.34070221066319895</v>
      </c>
      <c r="T89" s="40">
        <f>T67/1367</f>
        <v>0</v>
      </c>
      <c r="U89" s="40">
        <f>U67/1891</f>
        <v>1.1634056054997356E-2</v>
      </c>
      <c r="V89" s="40">
        <f>V67/1097</f>
        <v>3.7374658158614404E-2</v>
      </c>
      <c r="W89" s="40">
        <f>W67/599</f>
        <v>0.27045075125208679</v>
      </c>
      <c r="X89" s="35">
        <f t="shared" si="46"/>
        <v>0</v>
      </c>
      <c r="Y89" s="35">
        <f t="shared" si="47"/>
        <v>0</v>
      </c>
      <c r="Z89" s="35">
        <f t="shared" si="48"/>
        <v>0</v>
      </c>
      <c r="AA89" s="35">
        <f t="shared" si="49"/>
        <v>0</v>
      </c>
      <c r="AB89" s="40">
        <f t="shared" si="50"/>
        <v>3.0578512396694214E-2</v>
      </c>
      <c r="AC89" s="40">
        <f t="shared" si="51"/>
        <v>4.3130990415335461E-2</v>
      </c>
      <c r="AD89" s="40">
        <f t="shared" si="52"/>
        <v>6.0721062618595827E-2</v>
      </c>
      <c r="AE89" s="40">
        <f t="shared" si="53"/>
        <v>7.1074380165289261E-2</v>
      </c>
      <c r="AF89" s="35">
        <f t="shared" si="54"/>
        <v>2.6217228464419477E-2</v>
      </c>
      <c r="AG89" s="35">
        <f t="shared" si="55"/>
        <v>5.0131926121372031E-2</v>
      </c>
      <c r="AH89" s="35">
        <f t="shared" si="56"/>
        <v>0.10687022900763359</v>
      </c>
      <c r="AI89" s="35">
        <f t="shared" si="57"/>
        <v>0.3119447186574531</v>
      </c>
      <c r="AJ89" s="40">
        <f t="shared" si="58"/>
        <v>0</v>
      </c>
      <c r="AK89" s="40">
        <f t="shared" si="59"/>
        <v>0</v>
      </c>
      <c r="AL89" s="40">
        <f t="shared" si="60"/>
        <v>0</v>
      </c>
      <c r="AM89" s="40">
        <f t="shared" si="61"/>
        <v>0</v>
      </c>
      <c r="AN89" s="35">
        <f t="shared" si="62"/>
        <v>0</v>
      </c>
      <c r="AO89" s="35">
        <f t="shared" si="63"/>
        <v>0</v>
      </c>
      <c r="AP89" s="35">
        <f t="shared" si="64"/>
        <v>0</v>
      </c>
      <c r="AQ89" s="35">
        <f t="shared" si="65"/>
        <v>0</v>
      </c>
    </row>
    <row r="90" spans="1:47" s="5" customFormat="1" x14ac:dyDescent="0.25">
      <c r="A90" s="17"/>
      <c r="B90" s="34"/>
      <c r="C90" s="34"/>
      <c r="D90" s="34"/>
      <c r="E90" s="29"/>
      <c r="F90" s="29"/>
      <c r="G90" s="29"/>
      <c r="H90" s="32"/>
      <c r="I90" s="32"/>
      <c r="J90" s="32"/>
      <c r="K90" s="32"/>
      <c r="L90" s="29"/>
      <c r="M90" s="29"/>
      <c r="N90" s="29"/>
      <c r="O90" s="29"/>
      <c r="P90" s="71"/>
      <c r="Q90" s="71"/>
      <c r="R90" s="71"/>
      <c r="S90" s="71"/>
      <c r="T90" s="29"/>
      <c r="U90" s="29"/>
      <c r="V90" s="29"/>
      <c r="W90" s="29"/>
      <c r="AB90" s="6"/>
      <c r="AC90" s="6"/>
      <c r="AD90" s="6"/>
      <c r="AE90" s="6"/>
      <c r="AJ90" s="6"/>
      <c r="AK90" s="6"/>
      <c r="AL90" s="6"/>
      <c r="AM90" s="6"/>
    </row>
    <row r="91" spans="1:47" x14ac:dyDescent="0.25">
      <c r="A91" s="10"/>
      <c r="B91" s="33"/>
      <c r="C91" s="33"/>
      <c r="D91" s="33"/>
      <c r="E91" s="29"/>
      <c r="F91" s="30"/>
      <c r="G91" s="30"/>
      <c r="H91" s="31"/>
      <c r="I91" s="31"/>
      <c r="J91" s="31"/>
      <c r="K91" s="31"/>
      <c r="L91" s="30"/>
      <c r="M91" s="30"/>
      <c r="N91" s="30"/>
      <c r="O91" s="30"/>
      <c r="P91" s="72"/>
      <c r="Q91" s="72"/>
      <c r="R91" s="72"/>
      <c r="S91" s="72"/>
      <c r="T91" s="30"/>
      <c r="U91" s="30"/>
      <c r="V91" s="30"/>
      <c r="W91" s="30"/>
    </row>
    <row r="92" spans="1:47" s="2" customFormat="1" x14ac:dyDescent="0.25">
      <c r="A92" s="8" t="s">
        <v>14</v>
      </c>
      <c r="P92" s="74"/>
      <c r="Q92" s="74"/>
      <c r="R92" s="74"/>
      <c r="S92" s="74"/>
    </row>
    <row r="93" spans="1:47" x14ac:dyDescent="0.25">
      <c r="A93" s="1" t="s">
        <v>7</v>
      </c>
      <c r="B93" s="11"/>
      <c r="C93" s="11"/>
      <c r="D93" s="11"/>
      <c r="E93" s="11"/>
      <c r="F93" s="11"/>
      <c r="G93" s="11"/>
      <c r="H93" s="26">
        <v>23199.599999999999</v>
      </c>
      <c r="I93" s="26">
        <v>28571.599999999999</v>
      </c>
      <c r="J93" s="26">
        <v>33408.800000000003</v>
      </c>
      <c r="K93" s="26">
        <v>40988.400000000001</v>
      </c>
      <c r="L93" s="24">
        <v>26272.2</v>
      </c>
      <c r="M93" s="24">
        <v>31401.599999999999</v>
      </c>
      <c r="N93" s="24">
        <v>38267.75</v>
      </c>
      <c r="O93" s="24">
        <v>53705.2</v>
      </c>
      <c r="P93" s="76">
        <v>11015.7</v>
      </c>
      <c r="Q93" s="76">
        <v>22290.9</v>
      </c>
      <c r="R93" s="76">
        <v>37694.699999999997</v>
      </c>
      <c r="S93" s="76">
        <v>50502.6</v>
      </c>
      <c r="T93" s="24">
        <v>11122.2</v>
      </c>
      <c r="U93" s="24">
        <v>11744</v>
      </c>
      <c r="V93" s="24">
        <v>13500.8</v>
      </c>
      <c r="W93" s="24">
        <v>16425.2</v>
      </c>
      <c r="X93">
        <v>34014.199999999997</v>
      </c>
      <c r="Y93">
        <v>32804.25</v>
      </c>
      <c r="Z93">
        <v>36525</v>
      </c>
      <c r="AA93">
        <v>39259.15</v>
      </c>
      <c r="AB93" s="123">
        <v>30724.2</v>
      </c>
      <c r="AC93" s="123">
        <v>35884</v>
      </c>
      <c r="AD93" s="123">
        <v>37258.1</v>
      </c>
      <c r="AE93" s="123">
        <v>41967.3</v>
      </c>
      <c r="AF93">
        <v>26488.400000000001</v>
      </c>
      <c r="AG93">
        <v>28892.9</v>
      </c>
      <c r="AH93">
        <v>35146.5</v>
      </c>
      <c r="AI93">
        <v>46776.800000000003</v>
      </c>
      <c r="AJ93" s="123">
        <v>50450</v>
      </c>
      <c r="AK93" s="123">
        <v>42372.2</v>
      </c>
      <c r="AL93" s="123">
        <v>53449.7</v>
      </c>
      <c r="AM93" s="123">
        <v>59950.1</v>
      </c>
      <c r="AN93">
        <v>9330.7999999999993</v>
      </c>
      <c r="AO93">
        <v>16545.7</v>
      </c>
      <c r="AP93">
        <v>35003.599999999999</v>
      </c>
      <c r="AQ93">
        <v>52871.5</v>
      </c>
      <c r="AS93" s="91"/>
      <c r="AT93" s="91"/>
      <c r="AU93" s="91"/>
    </row>
    <row r="94" spans="1:47" x14ac:dyDescent="0.25">
      <c r="A94" s="1" t="s">
        <v>8</v>
      </c>
      <c r="B94" s="11"/>
      <c r="C94" s="11"/>
      <c r="D94" s="11"/>
      <c r="E94" s="11"/>
      <c r="F94" s="11"/>
      <c r="G94" s="11"/>
      <c r="H94" s="26">
        <v>17718.82</v>
      </c>
      <c r="I94" s="26">
        <v>21763.8</v>
      </c>
      <c r="J94" s="26">
        <v>21441.45</v>
      </c>
      <c r="K94" s="26">
        <v>26092.6</v>
      </c>
      <c r="L94" s="24">
        <v>26759</v>
      </c>
      <c r="M94" s="24">
        <v>28108.7</v>
      </c>
      <c r="N94" s="24">
        <v>27861.65</v>
      </c>
      <c r="O94" s="24">
        <v>22963.35</v>
      </c>
      <c r="P94" s="76">
        <v>11126.144999999999</v>
      </c>
      <c r="Q94" s="76">
        <v>22901.5</v>
      </c>
      <c r="R94" s="76">
        <v>30689.399999999994</v>
      </c>
      <c r="S94" s="76">
        <v>33104.699999999997</v>
      </c>
      <c r="T94" s="24">
        <v>4634.82</v>
      </c>
      <c r="U94" s="24">
        <v>6221.6</v>
      </c>
      <c r="V94" s="24">
        <v>8468.7999999999993</v>
      </c>
      <c r="W94" s="24">
        <v>7211.6</v>
      </c>
      <c r="X94">
        <v>26916.325000000001</v>
      </c>
      <c r="Y94">
        <v>26477.85</v>
      </c>
      <c r="Z94">
        <v>29029.95</v>
      </c>
      <c r="AA94">
        <v>42047.15</v>
      </c>
      <c r="AB94" s="123">
        <v>18554.45</v>
      </c>
      <c r="AC94" s="123">
        <v>21164.15</v>
      </c>
      <c r="AD94" s="123">
        <v>20606</v>
      </c>
      <c r="AE94" s="123">
        <v>21686.25</v>
      </c>
      <c r="AF94">
        <v>26274.25</v>
      </c>
      <c r="AG94">
        <v>26578.2</v>
      </c>
      <c r="AH94">
        <v>27074.400000000001</v>
      </c>
      <c r="AI94">
        <v>29291.4</v>
      </c>
      <c r="AJ94" s="123">
        <v>27685.9</v>
      </c>
      <c r="AK94" s="123">
        <v>31702.875</v>
      </c>
      <c r="AL94" s="123">
        <v>24590.55</v>
      </c>
      <c r="AM94" s="123">
        <v>14973.975</v>
      </c>
      <c r="AN94">
        <v>14453.46</v>
      </c>
      <c r="AO94">
        <v>19875.14</v>
      </c>
      <c r="AP94">
        <v>36873.300000000003</v>
      </c>
      <c r="AQ94">
        <v>16497.349999999999</v>
      </c>
      <c r="AS94" s="91"/>
      <c r="AT94" s="91"/>
      <c r="AU94" s="91"/>
    </row>
    <row r="95" spans="1:47" x14ac:dyDescent="0.25">
      <c r="A95" s="1" t="s">
        <v>9</v>
      </c>
      <c r="B95" s="11"/>
      <c r="C95" s="11"/>
      <c r="D95" s="11"/>
      <c r="E95" s="11"/>
      <c r="F95" s="11"/>
      <c r="G95" s="11"/>
      <c r="H95" s="26">
        <v>883.04</v>
      </c>
      <c r="I95" s="26">
        <v>73.72</v>
      </c>
      <c r="J95" s="26">
        <v>79.56</v>
      </c>
      <c r="K95" s="26">
        <v>100.88</v>
      </c>
      <c r="L95" s="24">
        <v>63.56</v>
      </c>
      <c r="M95" s="24">
        <v>42.76</v>
      </c>
      <c r="N95" s="24">
        <v>55.2</v>
      </c>
      <c r="O95" s="24">
        <v>14.36</v>
      </c>
      <c r="P95" s="76">
        <v>0</v>
      </c>
      <c r="Q95" s="76">
        <v>0</v>
      </c>
      <c r="R95" s="76">
        <v>33.880000000000003</v>
      </c>
      <c r="S95" s="76">
        <v>42.84</v>
      </c>
      <c r="T95" s="24">
        <v>602.79999999999995</v>
      </c>
      <c r="U95" s="24">
        <v>1433.28</v>
      </c>
      <c r="V95" s="24">
        <v>1944.4</v>
      </c>
      <c r="W95" s="24">
        <v>4032.92</v>
      </c>
      <c r="X95" t="s">
        <v>13</v>
      </c>
      <c r="Y95">
        <v>70.2</v>
      </c>
      <c r="Z95">
        <v>339.4</v>
      </c>
      <c r="AA95">
        <v>330.04</v>
      </c>
      <c r="AB95" s="123">
        <v>1380.16</v>
      </c>
      <c r="AC95" s="123">
        <v>382.16</v>
      </c>
      <c r="AD95" s="123">
        <v>81.08</v>
      </c>
      <c r="AE95" s="123">
        <v>74.72</v>
      </c>
      <c r="AF95">
        <v>72.56</v>
      </c>
      <c r="AG95">
        <v>69.36</v>
      </c>
      <c r="AH95">
        <v>280.56</v>
      </c>
      <c r="AI95">
        <v>260.39999999999998</v>
      </c>
      <c r="AJ95" s="123">
        <v>747.52</v>
      </c>
      <c r="AK95" s="123">
        <v>112.12</v>
      </c>
      <c r="AL95" s="123">
        <v>476.28</v>
      </c>
      <c r="AM95" s="123">
        <v>1806.04</v>
      </c>
      <c r="AN95">
        <v>327.08</v>
      </c>
      <c r="AO95" t="s">
        <v>13</v>
      </c>
      <c r="AP95">
        <v>375.96</v>
      </c>
      <c r="AQ95">
        <v>462.96</v>
      </c>
    </row>
    <row r="96" spans="1:47" x14ac:dyDescent="0.25">
      <c r="A96" s="1" t="s">
        <v>10</v>
      </c>
      <c r="B96" s="11"/>
      <c r="C96" s="11"/>
      <c r="D96" s="11"/>
      <c r="E96" s="11"/>
      <c r="F96" s="11"/>
      <c r="G96" s="11"/>
      <c r="H96" s="26">
        <v>65510.2</v>
      </c>
      <c r="I96" s="26">
        <v>65535</v>
      </c>
      <c r="J96" s="26">
        <v>65535</v>
      </c>
      <c r="K96" s="26">
        <v>65535</v>
      </c>
      <c r="L96" s="24">
        <v>65535</v>
      </c>
      <c r="M96" s="24">
        <v>65535</v>
      </c>
      <c r="N96" s="24">
        <v>65535</v>
      </c>
      <c r="O96" s="24">
        <v>65535</v>
      </c>
      <c r="P96" s="76">
        <v>65535</v>
      </c>
      <c r="Q96" s="76">
        <v>65535</v>
      </c>
      <c r="R96" s="76">
        <v>65535</v>
      </c>
      <c r="S96" s="76">
        <v>65535</v>
      </c>
      <c r="T96" s="24">
        <v>65535</v>
      </c>
      <c r="U96" s="24">
        <v>60926.2</v>
      </c>
      <c r="V96" s="24">
        <v>46660</v>
      </c>
      <c r="W96" s="24">
        <v>61532.4</v>
      </c>
      <c r="X96">
        <v>65535</v>
      </c>
      <c r="Y96">
        <v>65535</v>
      </c>
      <c r="Z96">
        <v>65535</v>
      </c>
      <c r="AA96">
        <v>65535</v>
      </c>
      <c r="AB96" s="123">
        <v>65535</v>
      </c>
      <c r="AC96" s="123">
        <v>65535</v>
      </c>
      <c r="AD96" s="123">
        <v>65535</v>
      </c>
      <c r="AE96" s="123">
        <v>65535</v>
      </c>
      <c r="AF96">
        <v>65535</v>
      </c>
      <c r="AG96">
        <v>64957.599999999999</v>
      </c>
      <c r="AH96">
        <v>65535</v>
      </c>
      <c r="AI96">
        <v>65535</v>
      </c>
      <c r="AJ96" s="123">
        <v>65535</v>
      </c>
      <c r="AK96" s="123">
        <v>65535</v>
      </c>
      <c r="AL96" s="123">
        <v>65535</v>
      </c>
      <c r="AM96" s="123">
        <v>65535</v>
      </c>
      <c r="AN96">
        <v>65535</v>
      </c>
      <c r="AO96">
        <v>65535</v>
      </c>
      <c r="AP96">
        <v>65535</v>
      </c>
      <c r="AQ96">
        <v>65535</v>
      </c>
    </row>
    <row r="97" spans="1:43" x14ac:dyDescent="0.25">
      <c r="A97" s="17"/>
      <c r="B97" s="11"/>
      <c r="C97" s="11"/>
      <c r="D97" s="11"/>
      <c r="E97" s="11"/>
      <c r="F97" s="11"/>
      <c r="G97" s="11"/>
      <c r="H97" s="5"/>
      <c r="L97" s="6"/>
      <c r="P97" s="84"/>
      <c r="Q97" s="84"/>
      <c r="R97" s="84"/>
      <c r="S97" s="84"/>
      <c r="T97" s="6"/>
      <c r="AB97" s="123"/>
      <c r="AC97" s="123"/>
      <c r="AD97" s="123"/>
      <c r="AE97" s="123"/>
      <c r="AJ97" s="123"/>
      <c r="AK97" s="123"/>
      <c r="AL97" s="123"/>
      <c r="AM97" s="123"/>
    </row>
    <row r="98" spans="1:43" x14ac:dyDescent="0.25">
      <c r="A98" s="17"/>
      <c r="B98" s="11"/>
      <c r="C98" s="11"/>
      <c r="D98" s="11"/>
      <c r="E98" s="11"/>
      <c r="F98" s="11"/>
      <c r="G98" s="11"/>
      <c r="H98" s="5"/>
      <c r="L98" s="6"/>
      <c r="P98" s="84"/>
      <c r="Q98" s="84"/>
      <c r="R98" s="84"/>
      <c r="S98" s="84"/>
      <c r="T98" s="6"/>
      <c r="AB98" s="123"/>
      <c r="AC98" s="123"/>
      <c r="AD98" s="123"/>
      <c r="AE98" s="123"/>
      <c r="AJ98" s="123"/>
      <c r="AK98" s="123"/>
      <c r="AL98" s="123"/>
      <c r="AM98" s="123"/>
    </row>
    <row r="99" spans="1:43" x14ac:dyDescent="0.25">
      <c r="A99" t="s">
        <v>113</v>
      </c>
      <c r="B99" s="42"/>
      <c r="C99" s="42"/>
      <c r="D99" s="42"/>
      <c r="E99" s="42"/>
      <c r="F99" s="42"/>
      <c r="G99" s="42"/>
      <c r="X99" t="s">
        <v>118</v>
      </c>
      <c r="AJ99" s="3" t="s">
        <v>118</v>
      </c>
      <c r="AN99">
        <v>771.33900000000006</v>
      </c>
    </row>
    <row r="100" spans="1:43" x14ac:dyDescent="0.25">
      <c r="A100" s="1" t="s">
        <v>114</v>
      </c>
      <c r="B100" s="42"/>
      <c r="C100" s="42"/>
      <c r="D100" s="42"/>
      <c r="E100" s="42"/>
      <c r="F100" s="42"/>
      <c r="G100" s="42"/>
      <c r="H100">
        <v>242.74299999999999</v>
      </c>
      <c r="L100" s="3">
        <v>1686.866</v>
      </c>
      <c r="P100" s="75">
        <v>669.82899999999995</v>
      </c>
      <c r="T100" s="87">
        <v>444.06400000000002</v>
      </c>
      <c r="X100" t="s">
        <v>119</v>
      </c>
      <c r="AB100" s="3">
        <v>171.87100000000001</v>
      </c>
      <c r="AF100">
        <v>327.24599999999998</v>
      </c>
      <c r="AJ100" s="3" t="s">
        <v>119</v>
      </c>
      <c r="AN100">
        <v>0</v>
      </c>
    </row>
    <row r="101" spans="1:43" x14ac:dyDescent="0.25">
      <c r="A101" s="1" t="s">
        <v>115</v>
      </c>
      <c r="B101" s="42"/>
      <c r="C101" s="42"/>
      <c r="D101" s="42"/>
      <c r="E101" s="42"/>
      <c r="F101" s="42"/>
      <c r="G101" s="42"/>
      <c r="H101">
        <v>0</v>
      </c>
      <c r="L101" s="3">
        <v>0</v>
      </c>
      <c r="P101" s="75">
        <v>0</v>
      </c>
      <c r="T101" s="87">
        <v>0</v>
      </c>
      <c r="AB101" s="3">
        <v>0</v>
      </c>
      <c r="AF101">
        <v>0</v>
      </c>
    </row>
    <row r="102" spans="1:43" x14ac:dyDescent="0.25">
      <c r="B102" s="11"/>
      <c r="C102" s="11"/>
      <c r="D102" s="11"/>
      <c r="E102" s="11"/>
      <c r="F102" s="11"/>
      <c r="G102" s="11"/>
      <c r="H102" s="5"/>
      <c r="L102" s="6"/>
      <c r="P102" s="72"/>
      <c r="Q102" s="72"/>
      <c r="R102" s="72"/>
      <c r="S102" s="72"/>
      <c r="T102" s="6"/>
      <c r="AB102" s="123"/>
      <c r="AC102" s="123"/>
      <c r="AD102" s="123"/>
      <c r="AE102" s="123"/>
      <c r="AJ102" s="123"/>
      <c r="AK102" s="123"/>
      <c r="AL102" s="123"/>
      <c r="AM102" s="123"/>
    </row>
    <row r="103" spans="1:43" s="2" customFormat="1" x14ac:dyDescent="0.25">
      <c r="A103" s="8" t="s">
        <v>124</v>
      </c>
      <c r="H103" s="16"/>
      <c r="L103" s="16"/>
      <c r="P103" s="74"/>
      <c r="Q103" s="74"/>
      <c r="R103" s="74"/>
      <c r="S103" s="74"/>
      <c r="T103" s="16"/>
      <c r="AB103" s="124"/>
      <c r="AC103" s="124"/>
      <c r="AD103" s="124"/>
      <c r="AE103" s="124"/>
      <c r="AJ103" s="124"/>
      <c r="AK103" s="124"/>
      <c r="AL103" s="124"/>
      <c r="AM103" s="124"/>
    </row>
    <row r="104" spans="1:43" x14ac:dyDescent="0.25">
      <c r="A104" s="9" t="str">
        <f>"0"</f>
        <v>0</v>
      </c>
      <c r="B104" s="42"/>
      <c r="C104" s="42"/>
      <c r="D104" s="42"/>
      <c r="E104" s="42"/>
      <c r="F104" s="42"/>
      <c r="G104" s="42"/>
      <c r="H104" s="25">
        <v>10</v>
      </c>
      <c r="I104" s="25">
        <v>16</v>
      </c>
      <c r="J104" s="25">
        <v>19</v>
      </c>
      <c r="K104" s="25">
        <v>7</v>
      </c>
      <c r="L104" s="24">
        <v>60</v>
      </c>
      <c r="M104" s="24">
        <v>21</v>
      </c>
      <c r="N104" s="24">
        <v>24</v>
      </c>
      <c r="O104" s="24">
        <v>24</v>
      </c>
      <c r="P104" s="76">
        <v>29</v>
      </c>
      <c r="Q104" s="76">
        <v>20</v>
      </c>
      <c r="R104" s="76">
        <v>4</v>
      </c>
      <c r="S104" s="76">
        <v>0</v>
      </c>
      <c r="T104" s="24">
        <v>15</v>
      </c>
      <c r="U104" s="24">
        <v>10</v>
      </c>
      <c r="V104" s="24">
        <v>11</v>
      </c>
      <c r="W104" s="24">
        <v>4</v>
      </c>
      <c r="X104">
        <v>12</v>
      </c>
      <c r="Y104">
        <v>3</v>
      </c>
      <c r="Z104">
        <v>1</v>
      </c>
      <c r="AA104">
        <v>1</v>
      </c>
      <c r="AB104" s="123">
        <v>15</v>
      </c>
      <c r="AC104" s="123">
        <v>4</v>
      </c>
      <c r="AD104" s="123">
        <v>1</v>
      </c>
      <c r="AE104" s="123">
        <v>1</v>
      </c>
      <c r="AF104">
        <v>29</v>
      </c>
      <c r="AG104">
        <v>6</v>
      </c>
      <c r="AH104">
        <v>5</v>
      </c>
      <c r="AI104">
        <v>1</v>
      </c>
      <c r="AJ104" s="123">
        <v>13</v>
      </c>
      <c r="AK104" s="123">
        <v>41</v>
      </c>
      <c r="AL104" s="123">
        <v>21</v>
      </c>
      <c r="AM104" s="123">
        <v>3</v>
      </c>
      <c r="AN104">
        <v>9</v>
      </c>
      <c r="AO104">
        <v>39</v>
      </c>
      <c r="AP104">
        <v>6</v>
      </c>
      <c r="AQ104">
        <v>0</v>
      </c>
    </row>
    <row r="105" spans="1:43" x14ac:dyDescent="0.25">
      <c r="A105" s="9" t="str">
        <f>"1"</f>
        <v>1</v>
      </c>
      <c r="B105" s="42"/>
      <c r="C105" s="42"/>
      <c r="D105" s="42"/>
      <c r="E105" s="42"/>
      <c r="F105" s="42"/>
      <c r="G105" s="42"/>
      <c r="H105" s="25">
        <v>49</v>
      </c>
      <c r="I105" s="25">
        <v>204</v>
      </c>
      <c r="J105" s="25">
        <v>283</v>
      </c>
      <c r="K105" s="25">
        <v>202</v>
      </c>
      <c r="L105" s="24">
        <v>723</v>
      </c>
      <c r="M105" s="24">
        <v>447</v>
      </c>
      <c r="N105" s="24">
        <v>645</v>
      </c>
      <c r="O105" s="24">
        <v>458</v>
      </c>
      <c r="P105" s="76">
        <v>354</v>
      </c>
      <c r="Q105" s="76">
        <v>383</v>
      </c>
      <c r="R105" s="76">
        <v>249</v>
      </c>
      <c r="S105" s="76">
        <v>205</v>
      </c>
      <c r="T105" s="24">
        <v>1318</v>
      </c>
      <c r="U105" s="24">
        <v>1862</v>
      </c>
      <c r="V105" s="24">
        <v>1071</v>
      </c>
      <c r="W105" s="24">
        <v>584</v>
      </c>
      <c r="X105">
        <v>276</v>
      </c>
      <c r="Y105">
        <v>159</v>
      </c>
      <c r="Z105">
        <v>195</v>
      </c>
      <c r="AA105">
        <v>334</v>
      </c>
      <c r="AB105" s="123">
        <v>468</v>
      </c>
      <c r="AC105" s="123">
        <v>204</v>
      </c>
      <c r="AD105" s="123">
        <v>166</v>
      </c>
      <c r="AE105" s="123">
        <v>169</v>
      </c>
      <c r="AF105">
        <v>318</v>
      </c>
      <c r="AG105">
        <v>147</v>
      </c>
      <c r="AH105">
        <v>191</v>
      </c>
      <c r="AI105">
        <v>221</v>
      </c>
      <c r="AJ105" s="123">
        <v>102</v>
      </c>
      <c r="AK105" s="123">
        <v>249</v>
      </c>
      <c r="AL105" s="123">
        <v>109</v>
      </c>
      <c r="AM105" s="123">
        <v>20</v>
      </c>
      <c r="AN105">
        <v>511</v>
      </c>
      <c r="AO105">
        <v>710</v>
      </c>
      <c r="AP105">
        <v>307</v>
      </c>
      <c r="AQ105">
        <v>49</v>
      </c>
    </row>
    <row r="106" spans="1:43" x14ac:dyDescent="0.25">
      <c r="A106" s="9" t="str">
        <f>"2"</f>
        <v>2</v>
      </c>
      <c r="B106" s="42"/>
      <c r="C106" s="42"/>
      <c r="D106" s="42"/>
      <c r="E106" s="42"/>
      <c r="F106" s="42"/>
      <c r="G106" s="42"/>
      <c r="H106" s="25">
        <v>7</v>
      </c>
      <c r="I106" s="25">
        <v>24</v>
      </c>
      <c r="J106" s="25">
        <v>14</v>
      </c>
      <c r="K106" s="25">
        <v>1</v>
      </c>
      <c r="L106" s="24">
        <v>30</v>
      </c>
      <c r="M106" s="24">
        <v>24</v>
      </c>
      <c r="N106" s="24">
        <v>26</v>
      </c>
      <c r="O106" s="24">
        <v>7</v>
      </c>
      <c r="P106" s="76">
        <v>8</v>
      </c>
      <c r="Q106" s="76">
        <v>14</v>
      </c>
      <c r="R106" s="76">
        <v>1</v>
      </c>
      <c r="S106" s="76">
        <v>0</v>
      </c>
      <c r="T106" s="24">
        <v>0</v>
      </c>
      <c r="U106" s="24">
        <v>2</v>
      </c>
      <c r="V106" s="24">
        <v>0</v>
      </c>
      <c r="W106" s="24">
        <v>0</v>
      </c>
      <c r="X106">
        <v>13</v>
      </c>
      <c r="Y106">
        <v>2</v>
      </c>
      <c r="Z106">
        <v>1</v>
      </c>
      <c r="AA106">
        <v>0</v>
      </c>
      <c r="AB106" s="123">
        <v>7</v>
      </c>
      <c r="AC106" s="123">
        <v>1</v>
      </c>
      <c r="AD106" s="123">
        <v>0</v>
      </c>
      <c r="AE106" s="123">
        <v>0</v>
      </c>
      <c r="AF106">
        <v>25</v>
      </c>
      <c r="AG106">
        <v>2</v>
      </c>
      <c r="AH106">
        <v>1</v>
      </c>
      <c r="AI106">
        <v>0</v>
      </c>
      <c r="AJ106" s="123">
        <v>1</v>
      </c>
      <c r="AK106" s="123">
        <v>4</v>
      </c>
      <c r="AL106" s="123">
        <v>0</v>
      </c>
      <c r="AM106" s="123">
        <v>0</v>
      </c>
      <c r="AN106">
        <v>19</v>
      </c>
      <c r="AO106">
        <v>56</v>
      </c>
      <c r="AP106">
        <v>5</v>
      </c>
      <c r="AQ106">
        <v>0</v>
      </c>
    </row>
    <row r="107" spans="1:43" x14ac:dyDescent="0.25">
      <c r="A107" s="9" t="str">
        <f>"3"</f>
        <v>3</v>
      </c>
      <c r="B107" s="42"/>
      <c r="C107" s="42"/>
      <c r="D107" s="42"/>
      <c r="E107" s="42"/>
      <c r="F107" s="42"/>
      <c r="G107" s="42"/>
      <c r="H107" s="25">
        <v>50</v>
      </c>
      <c r="I107" s="25">
        <v>355</v>
      </c>
      <c r="J107" s="25">
        <v>804</v>
      </c>
      <c r="K107" s="25">
        <v>843</v>
      </c>
      <c r="L107" s="24">
        <v>774</v>
      </c>
      <c r="M107" s="24">
        <v>633</v>
      </c>
      <c r="N107" s="24">
        <v>1523</v>
      </c>
      <c r="O107" s="24">
        <v>3336</v>
      </c>
      <c r="P107" s="76">
        <v>71</v>
      </c>
      <c r="Q107" s="76">
        <v>300</v>
      </c>
      <c r="R107" s="76">
        <v>514</v>
      </c>
      <c r="S107" s="76">
        <v>564</v>
      </c>
      <c r="T107" s="24">
        <v>34</v>
      </c>
      <c r="U107" s="24">
        <v>17</v>
      </c>
      <c r="V107" s="24">
        <v>15</v>
      </c>
      <c r="W107" s="24">
        <v>11</v>
      </c>
      <c r="X107">
        <v>611</v>
      </c>
      <c r="Y107">
        <v>344</v>
      </c>
      <c r="Z107">
        <v>484</v>
      </c>
      <c r="AA107">
        <v>557</v>
      </c>
      <c r="AB107" s="123">
        <v>720</v>
      </c>
      <c r="AC107" s="123">
        <v>417</v>
      </c>
      <c r="AD107" s="123">
        <v>360</v>
      </c>
      <c r="AE107" s="123">
        <v>435</v>
      </c>
      <c r="AF107">
        <v>429</v>
      </c>
      <c r="AG107">
        <v>224</v>
      </c>
      <c r="AH107">
        <v>458</v>
      </c>
      <c r="AI107">
        <v>791</v>
      </c>
      <c r="AJ107" s="123">
        <v>527</v>
      </c>
      <c r="AK107" s="123">
        <v>748</v>
      </c>
      <c r="AL107" s="123">
        <v>727</v>
      </c>
      <c r="AM107" s="123">
        <v>203</v>
      </c>
      <c r="AN107">
        <v>118</v>
      </c>
      <c r="AO107">
        <v>378</v>
      </c>
      <c r="AP107">
        <v>491</v>
      </c>
      <c r="AQ107">
        <v>312</v>
      </c>
    </row>
    <row r="108" spans="1:43" x14ac:dyDescent="0.25">
      <c r="A108" s="9" t="s">
        <v>28</v>
      </c>
      <c r="B108" s="42"/>
      <c r="C108" s="42"/>
      <c r="D108" s="42"/>
      <c r="E108" s="42"/>
      <c r="F108" s="42"/>
      <c r="G108" s="42"/>
      <c r="H108" s="25">
        <f>SUM(H104:H107)</f>
        <v>116</v>
      </c>
      <c r="I108" s="25">
        <f>SUM(I104:I107)</f>
        <v>599</v>
      </c>
      <c r="J108" s="25">
        <f>SUM(J104:J107)</f>
        <v>1120</v>
      </c>
      <c r="K108" s="25">
        <f>SUM(K104:K107)</f>
        <v>1053</v>
      </c>
      <c r="L108" s="24">
        <f t="shared" ref="L108:S108" si="71">SUM(L104:L107)</f>
        <v>1587</v>
      </c>
      <c r="M108" s="24">
        <f t="shared" si="71"/>
        <v>1125</v>
      </c>
      <c r="N108" s="24">
        <f t="shared" si="71"/>
        <v>2218</v>
      </c>
      <c r="O108" s="24">
        <f t="shared" si="71"/>
        <v>3825</v>
      </c>
      <c r="P108" s="25">
        <f t="shared" si="71"/>
        <v>462</v>
      </c>
      <c r="Q108" s="25">
        <f t="shared" si="71"/>
        <v>717</v>
      </c>
      <c r="R108" s="25">
        <f t="shared" si="71"/>
        <v>768</v>
      </c>
      <c r="S108" s="25">
        <f t="shared" si="71"/>
        <v>769</v>
      </c>
      <c r="T108" s="24">
        <f t="shared" ref="T108:W108" si="72">SUM(T104:T107)</f>
        <v>1367</v>
      </c>
      <c r="U108" s="24">
        <f t="shared" si="72"/>
        <v>1891</v>
      </c>
      <c r="V108" s="24">
        <f t="shared" si="72"/>
        <v>1097</v>
      </c>
      <c r="W108" s="24">
        <f t="shared" si="72"/>
        <v>599</v>
      </c>
      <c r="X108">
        <v>912</v>
      </c>
      <c r="Y108">
        <v>508</v>
      </c>
      <c r="Z108">
        <v>681</v>
      </c>
      <c r="AA108">
        <v>892</v>
      </c>
      <c r="AB108" s="123">
        <v>1210</v>
      </c>
      <c r="AC108" s="123">
        <v>626</v>
      </c>
      <c r="AD108" s="123">
        <v>527</v>
      </c>
      <c r="AE108" s="123">
        <v>605</v>
      </c>
      <c r="AF108">
        <v>801</v>
      </c>
      <c r="AG108">
        <v>379</v>
      </c>
      <c r="AH108">
        <v>655</v>
      </c>
      <c r="AI108">
        <v>1013</v>
      </c>
      <c r="AJ108" s="123">
        <v>643</v>
      </c>
      <c r="AK108" s="123">
        <v>1042</v>
      </c>
      <c r="AL108" s="123">
        <v>857</v>
      </c>
      <c r="AM108" s="123">
        <v>226</v>
      </c>
      <c r="AN108">
        <v>657</v>
      </c>
      <c r="AO108">
        <v>1183</v>
      </c>
      <c r="AP108">
        <v>809</v>
      </c>
      <c r="AQ108">
        <v>361</v>
      </c>
    </row>
    <row r="109" spans="1:43" x14ac:dyDescent="0.25">
      <c r="A109" s="17"/>
      <c r="B109" s="42"/>
      <c r="C109" s="42"/>
      <c r="D109" s="42"/>
      <c r="E109" s="42"/>
      <c r="F109" s="42"/>
      <c r="G109" s="42"/>
      <c r="H109" s="5"/>
      <c r="L109" s="6"/>
      <c r="P109" s="72"/>
      <c r="Q109" s="72"/>
      <c r="R109" s="72"/>
      <c r="S109" s="72"/>
      <c r="T109" s="6"/>
    </row>
    <row r="110" spans="1:43" x14ac:dyDescent="0.25">
      <c r="A110" s="17"/>
      <c r="B110" s="42"/>
      <c r="C110" s="42"/>
      <c r="D110" s="42"/>
      <c r="E110" s="42"/>
      <c r="F110" s="42"/>
      <c r="G110" s="42"/>
      <c r="H110" s="5"/>
      <c r="L110" s="6"/>
      <c r="P110" s="72"/>
      <c r="Q110" s="72"/>
      <c r="R110" s="72"/>
      <c r="S110" s="72"/>
      <c r="T110" s="6"/>
    </row>
    <row r="111" spans="1:43" x14ac:dyDescent="0.25">
      <c r="A111" s="9" t="str">
        <f>"% 0"</f>
        <v>% 0</v>
      </c>
      <c r="B111" s="42"/>
      <c r="C111" s="42"/>
      <c r="D111" s="42"/>
      <c r="E111" s="42"/>
      <c r="F111" s="42"/>
      <c r="G111" s="42"/>
      <c r="H111" s="35">
        <f>H104/116</f>
        <v>8.6206896551724144E-2</v>
      </c>
      <c r="I111" s="35">
        <f>I104/599</f>
        <v>2.6711185308848081E-2</v>
      </c>
      <c r="J111" s="35">
        <f>J104/1120</f>
        <v>1.6964285714285713E-2</v>
      </c>
      <c r="K111" s="35">
        <f>K104/1053</f>
        <v>6.6476733143399809E-3</v>
      </c>
      <c r="L111" s="40">
        <f>L104/1587</f>
        <v>3.780718336483932E-2</v>
      </c>
      <c r="M111" s="40">
        <f>M104/1125</f>
        <v>1.8666666666666668E-2</v>
      </c>
      <c r="N111" s="40">
        <f>N104/2218</f>
        <v>1.0820559062218215E-2</v>
      </c>
      <c r="O111" s="40">
        <f>O104/3825</f>
        <v>6.2745098039215684E-3</v>
      </c>
      <c r="P111" s="35">
        <f>P104/462</f>
        <v>6.2770562770562768E-2</v>
      </c>
      <c r="Q111" s="35">
        <f>Q104/717</f>
        <v>2.7894002789400279E-2</v>
      </c>
      <c r="R111" s="35">
        <f>R104/768</f>
        <v>5.208333333333333E-3</v>
      </c>
      <c r="S111" s="35">
        <f>S104/769</f>
        <v>0</v>
      </c>
      <c r="T111" s="40">
        <f>T104/1367</f>
        <v>1.0972933430870519E-2</v>
      </c>
      <c r="U111" s="40">
        <f>U104/1891</f>
        <v>5.2882072977260709E-3</v>
      </c>
      <c r="V111" s="40">
        <f>V104/1097</f>
        <v>1.0027347310847767E-2</v>
      </c>
      <c r="W111" s="40">
        <f>W104/599</f>
        <v>6.6777963272120202E-3</v>
      </c>
      <c r="X111" s="41">
        <f>X104/912</f>
        <v>1.3157894736842105E-2</v>
      </c>
      <c r="Y111" s="41">
        <f>Y104/508</f>
        <v>5.905511811023622E-3</v>
      </c>
      <c r="Z111" s="41">
        <f>Z104/681</f>
        <v>1.4684287812041115E-3</v>
      </c>
      <c r="AA111" s="41">
        <f>AA104/892</f>
        <v>1.1210762331838565E-3</v>
      </c>
      <c r="AB111" s="40">
        <f>AB104/1210</f>
        <v>1.2396694214876033E-2</v>
      </c>
      <c r="AC111" s="40">
        <f>AC104/626</f>
        <v>6.3897763578274758E-3</v>
      </c>
      <c r="AD111" s="40">
        <f>AD104/527</f>
        <v>1.8975332068311196E-3</v>
      </c>
      <c r="AE111" s="40">
        <f>AE104/605</f>
        <v>1.652892561983471E-3</v>
      </c>
      <c r="AF111" s="41">
        <f>AF104/801</f>
        <v>3.6204744069912607E-2</v>
      </c>
      <c r="AG111" s="41">
        <f>AG104/379</f>
        <v>1.5831134564643801E-2</v>
      </c>
      <c r="AH111" s="41">
        <f>AH104/655</f>
        <v>7.6335877862595417E-3</v>
      </c>
      <c r="AI111" s="41">
        <f>AI104/1013</f>
        <v>9.871668311944718E-4</v>
      </c>
      <c r="AJ111" s="40">
        <f>AJ104/643</f>
        <v>2.0217729393468119E-2</v>
      </c>
      <c r="AK111" s="40">
        <f>AK104/1042</f>
        <v>3.9347408829174667E-2</v>
      </c>
      <c r="AL111" s="40">
        <f>AL104/857</f>
        <v>2.4504084014002333E-2</v>
      </c>
      <c r="AM111" s="40">
        <f>AM104/226</f>
        <v>1.3274336283185841E-2</v>
      </c>
      <c r="AN111" s="41">
        <f>AN104/657</f>
        <v>1.3698630136986301E-2</v>
      </c>
      <c r="AO111" s="41">
        <f>AO104/1183</f>
        <v>3.2967032967032968E-2</v>
      </c>
      <c r="AP111" s="41">
        <f>AP104/809</f>
        <v>7.4165636588380719E-3</v>
      </c>
      <c r="AQ111" s="41">
        <f>AQ104/361</f>
        <v>0</v>
      </c>
    </row>
    <row r="112" spans="1:43" x14ac:dyDescent="0.25">
      <c r="A112" s="9" t="str">
        <f>"% 1"</f>
        <v>% 1</v>
      </c>
      <c r="B112" s="42"/>
      <c r="C112" s="42"/>
      <c r="D112" s="42"/>
      <c r="E112" s="42"/>
      <c r="F112" s="42"/>
      <c r="G112" s="42"/>
      <c r="H112" s="35">
        <f t="shared" ref="H112:H114" si="73">H105/116</f>
        <v>0.42241379310344829</v>
      </c>
      <c r="I112" s="35">
        <f t="shared" ref="I112:I114" si="74">I105/599</f>
        <v>0.34056761268781305</v>
      </c>
      <c r="J112" s="35">
        <f t="shared" ref="J112:J114" si="75">J105/1120</f>
        <v>0.25267857142857142</v>
      </c>
      <c r="K112" s="35">
        <f t="shared" ref="K112:K114" si="76">K105/1053</f>
        <v>0.19183285849952517</v>
      </c>
      <c r="L112" s="40">
        <f t="shared" ref="L112:L114" si="77">L105/1587</f>
        <v>0.45557655954631382</v>
      </c>
      <c r="M112" s="40">
        <f t="shared" ref="M112:M114" si="78">M105/1125</f>
        <v>0.39733333333333332</v>
      </c>
      <c r="N112" s="40">
        <f t="shared" ref="N112:N114" si="79">N105/2218</f>
        <v>0.29080252479711449</v>
      </c>
      <c r="O112" s="40">
        <f t="shared" ref="O112:O114" si="80">O105/3825</f>
        <v>0.11973856209150327</v>
      </c>
      <c r="P112" s="35">
        <f t="shared" ref="P112:P114" si="81">P105/462</f>
        <v>0.76623376623376627</v>
      </c>
      <c r="Q112" s="35">
        <f t="shared" ref="Q112:Q114" si="82">Q105/717</f>
        <v>0.53417015341701535</v>
      </c>
      <c r="R112" s="35">
        <f t="shared" ref="R112:R114" si="83">R105/768</f>
        <v>0.32421875</v>
      </c>
      <c r="S112" s="35">
        <f t="shared" ref="S112:S114" si="84">S105/769</f>
        <v>0.26657997399219768</v>
      </c>
      <c r="T112" s="40">
        <f t="shared" ref="T112:T114" si="85">T105/1367</f>
        <v>0.96415508412582296</v>
      </c>
      <c r="U112" s="40">
        <f t="shared" ref="U112:U114" si="86">U105/1891</f>
        <v>0.9846641988365944</v>
      </c>
      <c r="V112" s="40">
        <f t="shared" ref="V112:V114" si="87">V105/1097</f>
        <v>0.97629899726526892</v>
      </c>
      <c r="W112" s="40">
        <f t="shared" ref="W112:W114" si="88">W105/599</f>
        <v>0.97495826377295491</v>
      </c>
      <c r="X112" s="41">
        <f t="shared" ref="X112:X114" si="89">X105/912</f>
        <v>0.30263157894736842</v>
      </c>
      <c r="Y112" s="41">
        <f t="shared" ref="Y112:Y114" si="90">Y105/508</f>
        <v>0.31299212598425197</v>
      </c>
      <c r="Z112" s="41">
        <f t="shared" ref="Z112:Z114" si="91">Z105/681</f>
        <v>0.28634361233480177</v>
      </c>
      <c r="AA112" s="41">
        <f t="shared" ref="AA112:AA114" si="92">AA105/892</f>
        <v>0.3744394618834081</v>
      </c>
      <c r="AB112" s="40">
        <f t="shared" ref="AB112:AB114" si="93">AB105/1210</f>
        <v>0.38677685950413221</v>
      </c>
      <c r="AC112" s="40">
        <f t="shared" ref="AC112:AC114" si="94">AC105/626</f>
        <v>0.32587859424920129</v>
      </c>
      <c r="AD112" s="40">
        <f t="shared" ref="AD112:AD114" si="95">AD105/527</f>
        <v>0.31499051233396586</v>
      </c>
      <c r="AE112" s="40">
        <f t="shared" ref="AE112:AE114" si="96">AE105/605</f>
        <v>0.27933884297520661</v>
      </c>
      <c r="AF112" s="41">
        <f t="shared" ref="AF112:AF114" si="97">AF105/801</f>
        <v>0.39700374531835209</v>
      </c>
      <c r="AG112" s="41">
        <f t="shared" ref="AG112:AG114" si="98">AG105/379</f>
        <v>0.38786279683377306</v>
      </c>
      <c r="AH112" s="41">
        <f t="shared" ref="AH112:AH114" si="99">AH105/655</f>
        <v>0.2916030534351145</v>
      </c>
      <c r="AI112" s="41">
        <f t="shared" ref="AI112:AI114" si="100">AI105/1013</f>
        <v>0.21816386969397827</v>
      </c>
      <c r="AJ112" s="40">
        <f t="shared" ref="AJ112:AJ114" si="101">AJ105/643</f>
        <v>0.15863141524105753</v>
      </c>
      <c r="AK112" s="40">
        <f t="shared" ref="AK112:AK114" si="102">AK105/1042</f>
        <v>0.23896353166986564</v>
      </c>
      <c r="AL112" s="40">
        <f t="shared" ref="AL112:AL114" si="103">AL105/857</f>
        <v>0.12718786464410736</v>
      </c>
      <c r="AM112" s="40">
        <f t="shared" ref="AM112:AM114" si="104">AM105/226</f>
        <v>8.8495575221238937E-2</v>
      </c>
      <c r="AN112" s="41">
        <f t="shared" ref="AN112:AN114" si="105">AN105/657</f>
        <v>0.77777777777777779</v>
      </c>
      <c r="AO112" s="41">
        <f t="shared" ref="AO112:AO114" si="106">AO105/1183</f>
        <v>0.60016906170752327</v>
      </c>
      <c r="AP112" s="41">
        <f t="shared" ref="AP112:AP114" si="107">AP105/809</f>
        <v>0.37948084054388131</v>
      </c>
      <c r="AQ112" s="41">
        <f t="shared" ref="AQ112:AQ114" si="108">AQ105/361</f>
        <v>0.13573407202216067</v>
      </c>
    </row>
    <row r="113" spans="1:43" x14ac:dyDescent="0.25">
      <c r="A113" s="9" t="str">
        <f>"% 2"</f>
        <v>% 2</v>
      </c>
      <c r="B113" s="42"/>
      <c r="C113" s="42"/>
      <c r="D113" s="42"/>
      <c r="E113" s="42"/>
      <c r="F113" s="42"/>
      <c r="G113" s="42"/>
      <c r="H113" s="35">
        <f t="shared" si="73"/>
        <v>6.0344827586206899E-2</v>
      </c>
      <c r="I113" s="35">
        <f t="shared" si="74"/>
        <v>4.006677796327212E-2</v>
      </c>
      <c r="J113" s="35">
        <f t="shared" si="75"/>
        <v>1.2500000000000001E-2</v>
      </c>
      <c r="K113" s="35">
        <f t="shared" si="76"/>
        <v>9.4966761633428305E-4</v>
      </c>
      <c r="L113" s="40">
        <f t="shared" si="77"/>
        <v>1.890359168241966E-2</v>
      </c>
      <c r="M113" s="40">
        <f t="shared" si="78"/>
        <v>2.1333333333333333E-2</v>
      </c>
      <c r="N113" s="40">
        <f t="shared" si="79"/>
        <v>1.1722272317403066E-2</v>
      </c>
      <c r="O113" s="40">
        <f t="shared" si="80"/>
        <v>1.8300653594771241E-3</v>
      </c>
      <c r="P113" s="35">
        <f t="shared" si="81"/>
        <v>1.7316017316017316E-2</v>
      </c>
      <c r="Q113" s="35">
        <f t="shared" si="82"/>
        <v>1.9525801952580194E-2</v>
      </c>
      <c r="R113" s="35">
        <f t="shared" si="83"/>
        <v>1.3020833333333333E-3</v>
      </c>
      <c r="S113" s="35">
        <f t="shared" si="84"/>
        <v>0</v>
      </c>
      <c r="T113" s="40">
        <f t="shared" si="85"/>
        <v>0</v>
      </c>
      <c r="U113" s="40">
        <f t="shared" si="86"/>
        <v>1.0576414595452142E-3</v>
      </c>
      <c r="V113" s="40">
        <f t="shared" si="87"/>
        <v>0</v>
      </c>
      <c r="W113" s="40">
        <f t="shared" si="88"/>
        <v>0</v>
      </c>
      <c r="X113" s="41">
        <f t="shared" si="89"/>
        <v>1.425438596491228E-2</v>
      </c>
      <c r="Y113" s="41">
        <f t="shared" si="90"/>
        <v>3.937007874015748E-3</v>
      </c>
      <c r="Z113" s="41">
        <f t="shared" si="91"/>
        <v>1.4684287812041115E-3</v>
      </c>
      <c r="AA113" s="41">
        <f t="shared" si="92"/>
        <v>0</v>
      </c>
      <c r="AB113" s="40">
        <f t="shared" si="93"/>
        <v>5.7851239669421484E-3</v>
      </c>
      <c r="AC113" s="40">
        <f t="shared" si="94"/>
        <v>1.5974440894568689E-3</v>
      </c>
      <c r="AD113" s="40">
        <f t="shared" si="95"/>
        <v>0</v>
      </c>
      <c r="AE113" s="40">
        <f t="shared" si="96"/>
        <v>0</v>
      </c>
      <c r="AF113" s="41">
        <f t="shared" si="97"/>
        <v>3.1210986267166042E-2</v>
      </c>
      <c r="AG113" s="41">
        <f t="shared" si="98"/>
        <v>5.2770448548812663E-3</v>
      </c>
      <c r="AH113" s="41">
        <f t="shared" si="99"/>
        <v>1.5267175572519084E-3</v>
      </c>
      <c r="AI113" s="41">
        <f t="shared" si="100"/>
        <v>0</v>
      </c>
      <c r="AJ113" s="40">
        <f t="shared" si="101"/>
        <v>1.5552099533437014E-3</v>
      </c>
      <c r="AK113" s="40">
        <f t="shared" si="102"/>
        <v>3.838771593090211E-3</v>
      </c>
      <c r="AL113" s="40">
        <f t="shared" si="103"/>
        <v>0</v>
      </c>
      <c r="AM113" s="40">
        <f t="shared" si="104"/>
        <v>0</v>
      </c>
      <c r="AN113" s="41">
        <f t="shared" si="105"/>
        <v>2.8919330289193301E-2</v>
      </c>
      <c r="AO113" s="41">
        <f t="shared" si="106"/>
        <v>4.7337278106508875E-2</v>
      </c>
      <c r="AP113" s="41">
        <f t="shared" si="107"/>
        <v>6.180469715698393E-3</v>
      </c>
      <c r="AQ113" s="41">
        <f t="shared" si="108"/>
        <v>0</v>
      </c>
    </row>
    <row r="114" spans="1:43" x14ac:dyDescent="0.25">
      <c r="A114" s="9" t="str">
        <f>"% 3"</f>
        <v>% 3</v>
      </c>
      <c r="B114" s="42"/>
      <c r="C114" s="42"/>
      <c r="D114" s="42"/>
      <c r="E114" s="42"/>
      <c r="F114" s="42"/>
      <c r="G114" s="42"/>
      <c r="H114" s="35">
        <f t="shared" si="73"/>
        <v>0.43103448275862066</v>
      </c>
      <c r="I114" s="35">
        <f t="shared" si="74"/>
        <v>0.59265442404006674</v>
      </c>
      <c r="J114" s="35">
        <f t="shared" si="75"/>
        <v>0.71785714285714286</v>
      </c>
      <c r="K114" s="35">
        <f t="shared" si="76"/>
        <v>0.80056980056980054</v>
      </c>
      <c r="L114" s="40">
        <f t="shared" si="77"/>
        <v>0.48771266540642721</v>
      </c>
      <c r="M114" s="40">
        <f t="shared" si="78"/>
        <v>0.56266666666666665</v>
      </c>
      <c r="N114" s="40">
        <f t="shared" si="79"/>
        <v>0.68665464382326424</v>
      </c>
      <c r="O114" s="40">
        <f t="shared" si="80"/>
        <v>0.87215686274509807</v>
      </c>
      <c r="P114" s="35">
        <f t="shared" si="81"/>
        <v>0.15367965367965367</v>
      </c>
      <c r="Q114" s="35">
        <f t="shared" si="82"/>
        <v>0.41841004184100417</v>
      </c>
      <c r="R114" s="35">
        <f t="shared" si="83"/>
        <v>0.66927083333333337</v>
      </c>
      <c r="S114" s="35">
        <f t="shared" si="84"/>
        <v>0.73342002600780232</v>
      </c>
      <c r="T114" s="40">
        <f t="shared" si="85"/>
        <v>2.487198244330651E-2</v>
      </c>
      <c r="U114" s="40">
        <f t="shared" si="86"/>
        <v>8.9899524061343213E-3</v>
      </c>
      <c r="V114" s="40">
        <f t="shared" si="87"/>
        <v>1.3673655423883319E-2</v>
      </c>
      <c r="W114" s="40">
        <f t="shared" si="88"/>
        <v>1.8363939899833055E-2</v>
      </c>
      <c r="X114" s="41">
        <f t="shared" si="89"/>
        <v>0.66995614035087714</v>
      </c>
      <c r="Y114" s="41">
        <f t="shared" si="90"/>
        <v>0.67716535433070868</v>
      </c>
      <c r="Z114" s="41">
        <f t="shared" si="91"/>
        <v>0.71071953010278999</v>
      </c>
      <c r="AA114" s="41">
        <f t="shared" si="92"/>
        <v>0.62443946188340804</v>
      </c>
      <c r="AB114" s="40">
        <f t="shared" si="93"/>
        <v>0.5950413223140496</v>
      </c>
      <c r="AC114" s="40">
        <f t="shared" si="94"/>
        <v>0.66613418530351443</v>
      </c>
      <c r="AD114" s="40">
        <f t="shared" si="95"/>
        <v>0.68311195445920303</v>
      </c>
      <c r="AE114" s="40">
        <f t="shared" si="96"/>
        <v>0.71900826446280997</v>
      </c>
      <c r="AF114" s="41">
        <f t="shared" si="97"/>
        <v>0.53558052434456926</v>
      </c>
      <c r="AG114" s="41">
        <f t="shared" si="98"/>
        <v>0.59102902374670185</v>
      </c>
      <c r="AH114" s="41">
        <f t="shared" si="99"/>
        <v>0.69923664122137408</v>
      </c>
      <c r="AI114" s="41">
        <f t="shared" si="100"/>
        <v>0.78084896347482724</v>
      </c>
      <c r="AJ114" s="40">
        <f t="shared" si="101"/>
        <v>0.81959564541213059</v>
      </c>
      <c r="AK114" s="40">
        <f t="shared" si="102"/>
        <v>0.71785028790786953</v>
      </c>
      <c r="AL114" s="40">
        <f t="shared" si="103"/>
        <v>0.84830805134189036</v>
      </c>
      <c r="AM114" s="40">
        <f t="shared" si="104"/>
        <v>0.89823008849557517</v>
      </c>
      <c r="AN114" s="41">
        <f t="shared" si="105"/>
        <v>0.17960426179604261</v>
      </c>
      <c r="AO114" s="41">
        <f t="shared" si="106"/>
        <v>0.31952662721893493</v>
      </c>
      <c r="AP114" s="41">
        <f t="shared" si="107"/>
        <v>0.60692212608158225</v>
      </c>
      <c r="AQ114" s="41">
        <f t="shared" si="108"/>
        <v>0.8642659279778393</v>
      </c>
    </row>
    <row r="115" spans="1:43" x14ac:dyDescent="0.25">
      <c r="A115" s="17"/>
      <c r="B115" s="42"/>
      <c r="C115" s="42"/>
      <c r="D115" s="42"/>
      <c r="E115" s="42"/>
      <c r="F115" s="42"/>
      <c r="G115" s="42"/>
      <c r="H115" s="5"/>
      <c r="L115" s="6"/>
      <c r="T115" s="6"/>
    </row>
    <row r="116" spans="1:43" x14ac:dyDescent="0.25">
      <c r="B116" s="42"/>
      <c r="C116" s="42"/>
      <c r="D116" s="42"/>
      <c r="E116" s="42"/>
      <c r="F116" s="42"/>
      <c r="G116" s="42"/>
    </row>
    <row r="117" spans="1:43" x14ac:dyDescent="0.25">
      <c r="A117" s="86" t="s">
        <v>117</v>
      </c>
      <c r="B117" s="42"/>
      <c r="C117" s="42"/>
      <c r="D117" s="42"/>
      <c r="E117" s="42"/>
      <c r="F117" s="42"/>
      <c r="G117" s="42"/>
      <c r="H117" s="5"/>
      <c r="L117" s="6"/>
      <c r="P117" s="72"/>
      <c r="Q117" s="72"/>
      <c r="R117" s="72"/>
      <c r="S117" s="72"/>
      <c r="T117" s="6"/>
    </row>
    <row r="118" spans="1:43" x14ac:dyDescent="0.25">
      <c r="A118" s="1" t="s">
        <v>116</v>
      </c>
      <c r="B118" s="42"/>
      <c r="C118" s="42"/>
      <c r="D118" s="42"/>
      <c r="E118" s="42"/>
      <c r="F118" s="42"/>
      <c r="G118" s="42"/>
      <c r="H118" s="75">
        <v>89.230999999999995</v>
      </c>
      <c r="L118" s="87">
        <v>926.73299999999995</v>
      </c>
      <c r="P118" s="72">
        <v>525.44200000000001</v>
      </c>
      <c r="Q118" s="72"/>
      <c r="R118" s="72"/>
      <c r="S118" s="72"/>
      <c r="T118" s="3">
        <v>11.736000000000001</v>
      </c>
      <c r="X118" t="s">
        <v>118</v>
      </c>
      <c r="AB118" s="3">
        <v>28.896999999999998</v>
      </c>
      <c r="AF118">
        <v>107.539</v>
      </c>
      <c r="AJ118" s="3" t="s">
        <v>118</v>
      </c>
      <c r="AN118">
        <v>522.71199999999999</v>
      </c>
    </row>
    <row r="119" spans="1:43" x14ac:dyDescent="0.25">
      <c r="A119" s="1" t="s">
        <v>115</v>
      </c>
      <c r="B119" s="42"/>
      <c r="C119" s="42"/>
      <c r="D119" s="42"/>
      <c r="E119" s="42"/>
      <c r="F119" s="42"/>
      <c r="G119" s="42"/>
      <c r="H119" s="75">
        <v>0</v>
      </c>
      <c r="L119" s="87">
        <v>0</v>
      </c>
      <c r="P119" s="72">
        <v>0</v>
      </c>
      <c r="Q119" s="72"/>
      <c r="R119" s="72"/>
      <c r="S119" s="72"/>
      <c r="T119" s="3">
        <v>0.01</v>
      </c>
      <c r="X119" t="s">
        <v>119</v>
      </c>
      <c r="AB119" s="3">
        <v>0</v>
      </c>
      <c r="AF119">
        <v>0</v>
      </c>
      <c r="AJ119" s="3" t="s">
        <v>119</v>
      </c>
      <c r="AN119">
        <v>0</v>
      </c>
    </row>
    <row r="120" spans="1:43" x14ac:dyDescent="0.25">
      <c r="B120" s="42"/>
      <c r="C120" s="42"/>
      <c r="D120" s="42"/>
      <c r="E120" s="42"/>
      <c r="F120" s="42"/>
      <c r="G120" s="42"/>
      <c r="H120" s="5"/>
      <c r="P120" s="72"/>
      <c r="Q120" s="72"/>
      <c r="R120" s="72"/>
      <c r="S120" s="72"/>
    </row>
  </sheetData>
  <mergeCells count="1">
    <mergeCell ref="B1:G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workbookViewId="0">
      <selection activeCell="AT28" sqref="A1:XFD1048576"/>
    </sheetView>
  </sheetViews>
  <sheetFormatPr defaultRowHeight="15" x14ac:dyDescent="0.25"/>
  <sheetData>
    <row r="1" spans="1:49" x14ac:dyDescent="0.25">
      <c r="A1" s="103" t="s">
        <v>89</v>
      </c>
      <c r="B1" s="103"/>
      <c r="C1" s="103"/>
      <c r="D1" s="103"/>
      <c r="E1" s="103"/>
      <c r="F1" s="103"/>
      <c r="G1" s="103"/>
      <c r="H1" s="103"/>
      <c r="I1" s="103"/>
      <c r="K1" s="103" t="s">
        <v>94</v>
      </c>
      <c r="L1" s="103"/>
      <c r="M1" s="103"/>
      <c r="N1" s="103"/>
      <c r="O1" s="103"/>
      <c r="P1" s="103"/>
      <c r="Q1" s="103"/>
      <c r="R1" s="103"/>
      <c r="S1" s="103"/>
      <c r="U1" s="103" t="s">
        <v>99</v>
      </c>
      <c r="V1" s="103"/>
      <c r="W1" s="103"/>
      <c r="X1" s="103"/>
      <c r="Y1" s="103"/>
      <c r="Z1" s="103"/>
      <c r="AA1" s="103"/>
      <c r="AB1" s="103"/>
      <c r="AC1" s="103"/>
      <c r="AD1" s="103"/>
      <c r="AE1" s="69"/>
      <c r="AF1" s="103" t="s">
        <v>108</v>
      </c>
      <c r="AG1" s="103"/>
      <c r="AH1" s="103"/>
      <c r="AI1" s="103"/>
      <c r="AJ1" s="103"/>
      <c r="AK1" s="103"/>
      <c r="AL1" s="103"/>
      <c r="AM1" s="103"/>
      <c r="AN1" s="69"/>
      <c r="AO1" s="112" t="s">
        <v>59</v>
      </c>
      <c r="AP1" s="112"/>
      <c r="AQ1" s="112"/>
      <c r="AR1" s="112"/>
      <c r="AS1" s="112"/>
      <c r="AT1" s="112"/>
      <c r="AU1" s="112"/>
      <c r="AV1" s="112"/>
      <c r="AW1" s="112"/>
    </row>
    <row r="2" spans="1:49" ht="15.75" thickBot="1" x14ac:dyDescent="0.3">
      <c r="A2" s="94" t="s">
        <v>60</v>
      </c>
      <c r="B2" s="94"/>
      <c r="C2" s="94"/>
      <c r="D2" s="94"/>
      <c r="E2" s="94"/>
      <c r="F2" s="94"/>
      <c r="G2" s="94"/>
      <c r="H2" s="94"/>
      <c r="I2" s="94"/>
      <c r="K2" s="94" t="s">
        <v>60</v>
      </c>
      <c r="L2" s="94"/>
      <c r="M2" s="94"/>
      <c r="N2" s="94"/>
      <c r="O2" s="94"/>
      <c r="P2" s="94"/>
      <c r="Q2" s="94"/>
      <c r="R2" s="94"/>
      <c r="S2" s="94"/>
      <c r="U2" s="94" t="s">
        <v>60</v>
      </c>
      <c r="V2" s="94"/>
      <c r="W2" s="94"/>
      <c r="X2" s="94"/>
      <c r="Y2" s="94"/>
      <c r="Z2" s="94"/>
      <c r="AA2" s="94"/>
      <c r="AB2" s="94"/>
      <c r="AC2" s="94"/>
      <c r="AD2" s="94"/>
      <c r="AE2" s="69"/>
      <c r="AF2" s="94" t="s">
        <v>60</v>
      </c>
      <c r="AG2" s="94"/>
      <c r="AH2" s="94"/>
      <c r="AI2" s="94"/>
      <c r="AJ2" s="94"/>
      <c r="AK2" s="94"/>
      <c r="AL2" s="94"/>
      <c r="AM2" s="94"/>
      <c r="AN2" s="69"/>
      <c r="AO2" s="113" t="s">
        <v>60</v>
      </c>
      <c r="AP2" s="113"/>
      <c r="AQ2" s="113"/>
      <c r="AR2" s="113"/>
      <c r="AS2" s="113"/>
      <c r="AT2" s="113"/>
      <c r="AU2" s="113"/>
      <c r="AV2" s="113"/>
      <c r="AW2" s="113"/>
    </row>
    <row r="3" spans="1:49" ht="15.75" thickTop="1" x14ac:dyDescent="0.25">
      <c r="A3" s="95"/>
      <c r="B3" s="96"/>
      <c r="C3" s="104" t="s">
        <v>93</v>
      </c>
      <c r="D3" s="105"/>
      <c r="E3" s="105"/>
      <c r="F3" s="105"/>
      <c r="G3" s="105"/>
      <c r="H3" s="105"/>
      <c r="I3" s="99" t="s">
        <v>28</v>
      </c>
      <c r="K3" s="95"/>
      <c r="L3" s="96"/>
      <c r="M3" s="104" t="s">
        <v>58</v>
      </c>
      <c r="N3" s="105"/>
      <c r="O3" s="105"/>
      <c r="P3" s="105"/>
      <c r="Q3" s="105"/>
      <c r="R3" s="105"/>
      <c r="S3" s="99" t="s">
        <v>28</v>
      </c>
      <c r="U3" s="95"/>
      <c r="V3" s="96"/>
      <c r="W3" s="104" t="s">
        <v>107</v>
      </c>
      <c r="X3" s="105"/>
      <c r="Y3" s="105"/>
      <c r="Z3" s="105"/>
      <c r="AA3" s="105"/>
      <c r="AB3" s="105"/>
      <c r="AC3" s="105"/>
      <c r="AD3" s="99" t="s">
        <v>28</v>
      </c>
      <c r="AE3" s="69"/>
      <c r="AF3" s="95"/>
      <c r="AG3" s="96"/>
      <c r="AH3" s="104" t="s">
        <v>111</v>
      </c>
      <c r="AI3" s="105"/>
      <c r="AJ3" s="105"/>
      <c r="AK3" s="105"/>
      <c r="AL3" s="105"/>
      <c r="AM3" s="99" t="s">
        <v>28</v>
      </c>
      <c r="AN3" s="69"/>
      <c r="AO3" s="114"/>
      <c r="AP3" s="115"/>
      <c r="AQ3" s="118" t="s">
        <v>88</v>
      </c>
      <c r="AR3" s="119"/>
      <c r="AS3" s="119"/>
      <c r="AT3" s="119"/>
      <c r="AU3" s="119"/>
      <c r="AV3" s="119"/>
      <c r="AW3" s="120" t="s">
        <v>28</v>
      </c>
    </row>
    <row r="4" spans="1:49" ht="15.75" thickBot="1" x14ac:dyDescent="0.3">
      <c r="A4" s="97"/>
      <c r="B4" s="98"/>
      <c r="C4" s="56" t="s">
        <v>61</v>
      </c>
      <c r="D4" s="57" t="s">
        <v>62</v>
      </c>
      <c r="E4" s="57" t="s">
        <v>63</v>
      </c>
      <c r="F4" s="57" t="s">
        <v>64</v>
      </c>
      <c r="G4" s="57" t="s">
        <v>65</v>
      </c>
      <c r="H4" s="57" t="s">
        <v>66</v>
      </c>
      <c r="I4" s="100"/>
      <c r="K4" s="97"/>
      <c r="L4" s="98"/>
      <c r="M4" s="56" t="s">
        <v>61</v>
      </c>
      <c r="N4" s="57" t="s">
        <v>62</v>
      </c>
      <c r="O4" s="57" t="s">
        <v>63</v>
      </c>
      <c r="P4" s="57" t="s">
        <v>64</v>
      </c>
      <c r="Q4" s="57" t="s">
        <v>65</v>
      </c>
      <c r="R4" s="57" t="s">
        <v>66</v>
      </c>
      <c r="S4" s="100"/>
      <c r="U4" s="97"/>
      <c r="V4" s="98"/>
      <c r="W4" s="56" t="s">
        <v>61</v>
      </c>
      <c r="X4" s="57" t="s">
        <v>62</v>
      </c>
      <c r="Y4" s="57" t="s">
        <v>63</v>
      </c>
      <c r="Z4" s="57" t="s">
        <v>64</v>
      </c>
      <c r="AA4" s="57" t="s">
        <v>65</v>
      </c>
      <c r="AB4" s="57" t="s">
        <v>66</v>
      </c>
      <c r="AC4" s="57" t="s">
        <v>100</v>
      </c>
      <c r="AD4" s="100"/>
      <c r="AE4" s="69"/>
      <c r="AF4" s="97"/>
      <c r="AG4" s="98"/>
      <c r="AH4" s="56" t="s">
        <v>62</v>
      </c>
      <c r="AI4" s="57" t="s">
        <v>63</v>
      </c>
      <c r="AJ4" s="57" t="s">
        <v>64</v>
      </c>
      <c r="AK4" s="57" t="s">
        <v>65</v>
      </c>
      <c r="AL4" s="57" t="s">
        <v>66</v>
      </c>
      <c r="AM4" s="100"/>
      <c r="AN4" s="69"/>
      <c r="AO4" s="116"/>
      <c r="AP4" s="117"/>
      <c r="AQ4" s="43" t="s">
        <v>61</v>
      </c>
      <c r="AR4" s="44" t="s">
        <v>62</v>
      </c>
      <c r="AS4" s="44" t="s">
        <v>63</v>
      </c>
      <c r="AT4" s="44" t="s">
        <v>64</v>
      </c>
      <c r="AU4" s="44" t="s">
        <v>65</v>
      </c>
      <c r="AV4" s="44" t="s">
        <v>66</v>
      </c>
      <c r="AW4" s="121"/>
    </row>
    <row r="5" spans="1:49" ht="15.75" thickTop="1" x14ac:dyDescent="0.25">
      <c r="A5" s="101" t="s">
        <v>67</v>
      </c>
      <c r="B5" s="58" t="s">
        <v>61</v>
      </c>
      <c r="C5" s="59">
        <v>0</v>
      </c>
      <c r="D5" s="60">
        <v>1</v>
      </c>
      <c r="E5" s="60">
        <v>0</v>
      </c>
      <c r="F5" s="60">
        <v>0</v>
      </c>
      <c r="G5" s="60">
        <v>0</v>
      </c>
      <c r="H5" s="60">
        <v>0</v>
      </c>
      <c r="I5" s="61">
        <v>1</v>
      </c>
      <c r="K5" s="101" t="s">
        <v>67</v>
      </c>
      <c r="L5" s="58" t="s">
        <v>68</v>
      </c>
      <c r="M5" s="59">
        <v>0</v>
      </c>
      <c r="N5" s="60">
        <v>17</v>
      </c>
      <c r="O5" s="60">
        <v>4</v>
      </c>
      <c r="P5" s="60">
        <v>3</v>
      </c>
      <c r="Q5" s="60">
        <v>1</v>
      </c>
      <c r="R5" s="60">
        <v>2</v>
      </c>
      <c r="S5" s="61">
        <v>27</v>
      </c>
      <c r="U5" s="101" t="s">
        <v>67</v>
      </c>
      <c r="V5" s="58" t="s">
        <v>101</v>
      </c>
      <c r="W5" s="59">
        <v>0</v>
      </c>
      <c r="X5" s="60">
        <v>1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1">
        <v>1</v>
      </c>
      <c r="AE5" s="69"/>
      <c r="AF5" s="101" t="s">
        <v>67</v>
      </c>
      <c r="AG5" s="58" t="s">
        <v>61</v>
      </c>
      <c r="AH5" s="59">
        <v>7</v>
      </c>
      <c r="AI5" s="60">
        <v>22</v>
      </c>
      <c r="AJ5" s="60">
        <v>17</v>
      </c>
      <c r="AK5" s="60">
        <v>4</v>
      </c>
      <c r="AL5" s="60">
        <v>0</v>
      </c>
      <c r="AM5" s="61">
        <v>50</v>
      </c>
      <c r="AN5" s="69"/>
      <c r="AO5" s="106" t="s">
        <v>67</v>
      </c>
      <c r="AP5" s="45" t="s">
        <v>68</v>
      </c>
      <c r="AQ5" s="46">
        <v>0</v>
      </c>
      <c r="AR5" s="47">
        <v>16</v>
      </c>
      <c r="AS5" s="47">
        <v>27</v>
      </c>
      <c r="AT5" s="47">
        <v>17</v>
      </c>
      <c r="AU5" s="47">
        <v>0</v>
      </c>
      <c r="AV5" s="47">
        <v>0</v>
      </c>
      <c r="AW5" s="48">
        <v>60</v>
      </c>
    </row>
    <row r="6" spans="1:49" x14ac:dyDescent="0.25">
      <c r="A6" s="102"/>
      <c r="B6" s="62" t="s">
        <v>68</v>
      </c>
      <c r="C6" s="63">
        <v>0</v>
      </c>
      <c r="D6" s="64">
        <v>9</v>
      </c>
      <c r="E6" s="64">
        <v>14</v>
      </c>
      <c r="F6" s="64">
        <v>7</v>
      </c>
      <c r="G6" s="64">
        <v>2</v>
      </c>
      <c r="H6" s="64">
        <v>0</v>
      </c>
      <c r="I6" s="65">
        <v>32</v>
      </c>
      <c r="K6" s="102"/>
      <c r="L6" s="62" t="s">
        <v>69</v>
      </c>
      <c r="M6" s="63">
        <v>0</v>
      </c>
      <c r="N6" s="64">
        <v>182</v>
      </c>
      <c r="O6" s="64">
        <v>98</v>
      </c>
      <c r="P6" s="64">
        <v>82</v>
      </c>
      <c r="Q6" s="64">
        <v>65</v>
      </c>
      <c r="R6" s="64">
        <v>1</v>
      </c>
      <c r="S6" s="65">
        <v>428</v>
      </c>
      <c r="U6" s="102"/>
      <c r="V6" s="62" t="s">
        <v>68</v>
      </c>
      <c r="W6" s="63">
        <v>0</v>
      </c>
      <c r="X6" s="64">
        <v>14</v>
      </c>
      <c r="Y6" s="64">
        <v>3</v>
      </c>
      <c r="Z6" s="64">
        <v>6</v>
      </c>
      <c r="AA6" s="64">
        <v>10</v>
      </c>
      <c r="AB6" s="64">
        <v>5</v>
      </c>
      <c r="AC6" s="64">
        <v>0</v>
      </c>
      <c r="AD6" s="65">
        <v>38</v>
      </c>
      <c r="AE6" s="69"/>
      <c r="AF6" s="102"/>
      <c r="AG6" s="62" t="s">
        <v>68</v>
      </c>
      <c r="AH6" s="63">
        <v>0</v>
      </c>
      <c r="AI6" s="64">
        <v>1</v>
      </c>
      <c r="AJ6" s="64">
        <v>1</v>
      </c>
      <c r="AK6" s="64">
        <v>1</v>
      </c>
      <c r="AL6" s="64">
        <v>0</v>
      </c>
      <c r="AM6" s="65">
        <v>3</v>
      </c>
      <c r="AN6" s="69"/>
      <c r="AO6" s="107"/>
      <c r="AP6" s="49" t="s">
        <v>69</v>
      </c>
      <c r="AQ6" s="50">
        <v>0</v>
      </c>
      <c r="AR6" s="51">
        <v>12</v>
      </c>
      <c r="AS6" s="51">
        <v>43</v>
      </c>
      <c r="AT6" s="51">
        <v>45</v>
      </c>
      <c r="AU6" s="51">
        <v>16</v>
      </c>
      <c r="AV6" s="51">
        <v>0</v>
      </c>
      <c r="AW6" s="52">
        <v>116</v>
      </c>
    </row>
    <row r="7" spans="1:49" x14ac:dyDescent="0.25">
      <c r="A7" s="102"/>
      <c r="B7" s="62" t="s">
        <v>90</v>
      </c>
      <c r="C7" s="63">
        <v>0</v>
      </c>
      <c r="D7" s="64">
        <v>0</v>
      </c>
      <c r="E7" s="64">
        <v>0</v>
      </c>
      <c r="F7" s="64">
        <v>1</v>
      </c>
      <c r="G7" s="64">
        <v>0</v>
      </c>
      <c r="H7" s="64">
        <v>0</v>
      </c>
      <c r="I7" s="65">
        <v>1</v>
      </c>
      <c r="K7" s="102"/>
      <c r="L7" s="62" t="s">
        <v>70</v>
      </c>
      <c r="M7" s="63">
        <v>1</v>
      </c>
      <c r="N7" s="64">
        <v>310</v>
      </c>
      <c r="O7" s="64">
        <v>147</v>
      </c>
      <c r="P7" s="64">
        <v>102</v>
      </c>
      <c r="Q7" s="64">
        <v>45</v>
      </c>
      <c r="R7" s="64">
        <v>5</v>
      </c>
      <c r="S7" s="65">
        <v>610</v>
      </c>
      <c r="U7" s="102"/>
      <c r="V7" s="62" t="s">
        <v>69</v>
      </c>
      <c r="W7" s="63">
        <v>0</v>
      </c>
      <c r="X7" s="64">
        <v>5</v>
      </c>
      <c r="Y7" s="64">
        <v>3</v>
      </c>
      <c r="Z7" s="64">
        <v>11</v>
      </c>
      <c r="AA7" s="64">
        <v>7</v>
      </c>
      <c r="AB7" s="64">
        <v>0</v>
      </c>
      <c r="AC7" s="64">
        <v>0</v>
      </c>
      <c r="AD7" s="65">
        <v>26</v>
      </c>
      <c r="AE7" s="69"/>
      <c r="AF7" s="102"/>
      <c r="AG7" s="62" t="s">
        <v>90</v>
      </c>
      <c r="AH7" s="63">
        <v>5</v>
      </c>
      <c r="AI7" s="64">
        <v>12</v>
      </c>
      <c r="AJ7" s="64">
        <v>7</v>
      </c>
      <c r="AK7" s="64">
        <v>3</v>
      </c>
      <c r="AL7" s="64">
        <v>0</v>
      </c>
      <c r="AM7" s="65">
        <v>27</v>
      </c>
      <c r="AN7" s="69"/>
      <c r="AO7" s="107"/>
      <c r="AP7" s="49" t="s">
        <v>70</v>
      </c>
      <c r="AQ7" s="50">
        <v>1</v>
      </c>
      <c r="AR7" s="51">
        <v>114</v>
      </c>
      <c r="AS7" s="51">
        <v>182</v>
      </c>
      <c r="AT7" s="51">
        <v>200</v>
      </c>
      <c r="AU7" s="51">
        <v>128</v>
      </c>
      <c r="AV7" s="51">
        <v>0</v>
      </c>
      <c r="AW7" s="52">
        <v>625</v>
      </c>
    </row>
    <row r="8" spans="1:49" x14ac:dyDescent="0.25">
      <c r="A8" s="102"/>
      <c r="B8" s="62" t="s">
        <v>69</v>
      </c>
      <c r="C8" s="63">
        <v>0</v>
      </c>
      <c r="D8" s="64">
        <v>33</v>
      </c>
      <c r="E8" s="64">
        <v>3</v>
      </c>
      <c r="F8" s="64">
        <v>5</v>
      </c>
      <c r="G8" s="64">
        <v>3</v>
      </c>
      <c r="H8" s="64">
        <v>1</v>
      </c>
      <c r="I8" s="65">
        <v>45</v>
      </c>
      <c r="K8" s="102"/>
      <c r="L8" s="62" t="s">
        <v>71</v>
      </c>
      <c r="M8" s="63">
        <v>0</v>
      </c>
      <c r="N8" s="64">
        <v>45</v>
      </c>
      <c r="O8" s="64">
        <v>26</v>
      </c>
      <c r="P8" s="64">
        <v>10</v>
      </c>
      <c r="Q8" s="64">
        <v>2</v>
      </c>
      <c r="R8" s="64">
        <v>0</v>
      </c>
      <c r="S8" s="65">
        <v>83</v>
      </c>
      <c r="U8" s="102"/>
      <c r="V8" s="62" t="s">
        <v>70</v>
      </c>
      <c r="W8" s="63">
        <v>1</v>
      </c>
      <c r="X8" s="64">
        <v>170</v>
      </c>
      <c r="Y8" s="64">
        <v>76</v>
      </c>
      <c r="Z8" s="64">
        <v>160</v>
      </c>
      <c r="AA8" s="64">
        <v>141</v>
      </c>
      <c r="AB8" s="64">
        <v>3</v>
      </c>
      <c r="AC8" s="64">
        <v>27</v>
      </c>
      <c r="AD8" s="65">
        <v>578</v>
      </c>
      <c r="AE8" s="69"/>
      <c r="AF8" s="102"/>
      <c r="AG8" s="62" t="s">
        <v>69</v>
      </c>
      <c r="AH8" s="63">
        <v>6</v>
      </c>
      <c r="AI8" s="64">
        <v>0</v>
      </c>
      <c r="AJ8" s="64">
        <v>0</v>
      </c>
      <c r="AK8" s="64">
        <v>1</v>
      </c>
      <c r="AL8" s="64">
        <v>0</v>
      </c>
      <c r="AM8" s="65">
        <v>7</v>
      </c>
      <c r="AN8" s="69"/>
      <c r="AO8" s="107"/>
      <c r="AP8" s="49" t="s">
        <v>71</v>
      </c>
      <c r="AQ8" s="50">
        <v>0</v>
      </c>
      <c r="AR8" s="51">
        <v>0</v>
      </c>
      <c r="AS8" s="51">
        <v>2</v>
      </c>
      <c r="AT8" s="51">
        <v>5</v>
      </c>
      <c r="AU8" s="51">
        <v>2</v>
      </c>
      <c r="AV8" s="51">
        <v>0</v>
      </c>
      <c r="AW8" s="52">
        <v>9</v>
      </c>
    </row>
    <row r="9" spans="1:49" x14ac:dyDescent="0.25">
      <c r="A9" s="102"/>
      <c r="B9" s="62" t="s">
        <v>70</v>
      </c>
      <c r="C9" s="63">
        <v>0</v>
      </c>
      <c r="D9" s="64">
        <v>190</v>
      </c>
      <c r="E9" s="64">
        <v>91</v>
      </c>
      <c r="F9" s="64">
        <v>139</v>
      </c>
      <c r="G9" s="64">
        <v>218</v>
      </c>
      <c r="H9" s="64">
        <v>2</v>
      </c>
      <c r="I9" s="65">
        <v>640</v>
      </c>
      <c r="K9" s="102"/>
      <c r="L9" s="62" t="s">
        <v>72</v>
      </c>
      <c r="M9" s="63">
        <v>1</v>
      </c>
      <c r="N9" s="64">
        <v>373</v>
      </c>
      <c r="O9" s="64">
        <v>159</v>
      </c>
      <c r="P9" s="64">
        <v>104</v>
      </c>
      <c r="Q9" s="64">
        <v>25</v>
      </c>
      <c r="R9" s="64">
        <v>7</v>
      </c>
      <c r="S9" s="65">
        <v>669</v>
      </c>
      <c r="U9" s="102"/>
      <c r="V9" s="62" t="s">
        <v>71</v>
      </c>
      <c r="W9" s="63">
        <v>0</v>
      </c>
      <c r="X9" s="64">
        <v>11</v>
      </c>
      <c r="Y9" s="64">
        <v>0</v>
      </c>
      <c r="Z9" s="64">
        <v>5</v>
      </c>
      <c r="AA9" s="64">
        <v>2</v>
      </c>
      <c r="AB9" s="64">
        <v>0</v>
      </c>
      <c r="AC9" s="64">
        <v>0</v>
      </c>
      <c r="AD9" s="65">
        <v>18</v>
      </c>
      <c r="AE9" s="69"/>
      <c r="AF9" s="102"/>
      <c r="AG9" s="62" t="s">
        <v>70</v>
      </c>
      <c r="AH9" s="63">
        <v>501</v>
      </c>
      <c r="AI9" s="64">
        <v>727</v>
      </c>
      <c r="AJ9" s="64">
        <v>580</v>
      </c>
      <c r="AK9" s="64">
        <v>141</v>
      </c>
      <c r="AL9" s="64">
        <v>4</v>
      </c>
      <c r="AM9" s="65">
        <v>1953</v>
      </c>
      <c r="AN9" s="69"/>
      <c r="AO9" s="107"/>
      <c r="AP9" s="49" t="s">
        <v>72</v>
      </c>
      <c r="AQ9" s="50">
        <v>2</v>
      </c>
      <c r="AR9" s="51">
        <v>233</v>
      </c>
      <c r="AS9" s="51">
        <v>617</v>
      </c>
      <c r="AT9" s="51">
        <v>496</v>
      </c>
      <c r="AU9" s="51">
        <v>205</v>
      </c>
      <c r="AV9" s="51">
        <v>0</v>
      </c>
      <c r="AW9" s="52">
        <v>1553</v>
      </c>
    </row>
    <row r="10" spans="1:49" x14ac:dyDescent="0.25">
      <c r="A10" s="102"/>
      <c r="B10" s="62" t="s">
        <v>71</v>
      </c>
      <c r="C10" s="63">
        <v>0</v>
      </c>
      <c r="D10" s="64">
        <v>1</v>
      </c>
      <c r="E10" s="64">
        <v>0</v>
      </c>
      <c r="F10" s="64">
        <v>0</v>
      </c>
      <c r="G10" s="64">
        <v>0</v>
      </c>
      <c r="H10" s="64">
        <v>0</v>
      </c>
      <c r="I10" s="65">
        <v>1</v>
      </c>
      <c r="K10" s="102"/>
      <c r="L10" s="62" t="s">
        <v>73</v>
      </c>
      <c r="M10" s="63">
        <v>0</v>
      </c>
      <c r="N10" s="64">
        <v>2</v>
      </c>
      <c r="O10" s="64">
        <v>1</v>
      </c>
      <c r="P10" s="64">
        <v>0</v>
      </c>
      <c r="Q10" s="64">
        <v>1</v>
      </c>
      <c r="R10" s="64">
        <v>0</v>
      </c>
      <c r="S10" s="65">
        <v>4</v>
      </c>
      <c r="U10" s="102"/>
      <c r="V10" s="62" t="s">
        <v>72</v>
      </c>
      <c r="W10" s="63">
        <v>1</v>
      </c>
      <c r="X10" s="64">
        <v>437</v>
      </c>
      <c r="Y10" s="64">
        <v>201</v>
      </c>
      <c r="Z10" s="64">
        <v>283</v>
      </c>
      <c r="AA10" s="64">
        <v>213</v>
      </c>
      <c r="AB10" s="64">
        <v>41</v>
      </c>
      <c r="AC10" s="64">
        <v>21</v>
      </c>
      <c r="AD10" s="65">
        <v>1197</v>
      </c>
      <c r="AE10" s="69"/>
      <c r="AF10" s="102"/>
      <c r="AG10" s="62" t="s">
        <v>71</v>
      </c>
      <c r="AH10" s="63">
        <v>48</v>
      </c>
      <c r="AI10" s="64">
        <v>69</v>
      </c>
      <c r="AJ10" s="64">
        <v>137</v>
      </c>
      <c r="AK10" s="64">
        <v>82</v>
      </c>
      <c r="AL10" s="64">
        <v>0</v>
      </c>
      <c r="AM10" s="65">
        <v>336</v>
      </c>
      <c r="AN10" s="69"/>
      <c r="AO10" s="107"/>
      <c r="AP10" s="49" t="s">
        <v>73</v>
      </c>
      <c r="AQ10" s="50">
        <v>0</v>
      </c>
      <c r="AR10" s="51">
        <v>0</v>
      </c>
      <c r="AS10" s="51">
        <v>0</v>
      </c>
      <c r="AT10" s="51">
        <v>1</v>
      </c>
      <c r="AU10" s="51">
        <v>1</v>
      </c>
      <c r="AV10" s="51">
        <v>0</v>
      </c>
      <c r="AW10" s="52">
        <v>2</v>
      </c>
    </row>
    <row r="11" spans="1:49" x14ac:dyDescent="0.25">
      <c r="A11" s="102"/>
      <c r="B11" s="62" t="s">
        <v>72</v>
      </c>
      <c r="C11" s="63">
        <v>1</v>
      </c>
      <c r="D11" s="64">
        <v>564</v>
      </c>
      <c r="E11" s="64">
        <v>365</v>
      </c>
      <c r="F11" s="64">
        <v>508</v>
      </c>
      <c r="G11" s="64">
        <v>652</v>
      </c>
      <c r="H11" s="64">
        <v>3</v>
      </c>
      <c r="I11" s="65">
        <v>2093</v>
      </c>
      <c r="K11" s="102"/>
      <c r="L11" s="62" t="s">
        <v>95</v>
      </c>
      <c r="M11" s="63">
        <v>0</v>
      </c>
      <c r="N11" s="64">
        <v>3</v>
      </c>
      <c r="O11" s="64">
        <v>0</v>
      </c>
      <c r="P11" s="64">
        <v>1</v>
      </c>
      <c r="Q11" s="64">
        <v>0</v>
      </c>
      <c r="R11" s="64">
        <v>0</v>
      </c>
      <c r="S11" s="65">
        <v>4</v>
      </c>
      <c r="U11" s="102"/>
      <c r="V11" s="62" t="s">
        <v>73</v>
      </c>
      <c r="W11" s="63">
        <v>0</v>
      </c>
      <c r="X11" s="64">
        <v>0</v>
      </c>
      <c r="Y11" s="64">
        <v>0</v>
      </c>
      <c r="Z11" s="64">
        <v>0</v>
      </c>
      <c r="AA11" s="64">
        <v>4</v>
      </c>
      <c r="AB11" s="64">
        <v>0</v>
      </c>
      <c r="AC11" s="64">
        <v>0</v>
      </c>
      <c r="AD11" s="65">
        <v>4</v>
      </c>
      <c r="AE11" s="69"/>
      <c r="AF11" s="102"/>
      <c r="AG11" s="62" t="s">
        <v>72</v>
      </c>
      <c r="AH11" s="63">
        <v>60</v>
      </c>
      <c r="AI11" s="64">
        <v>227</v>
      </c>
      <c r="AJ11" s="64">
        <v>186</v>
      </c>
      <c r="AK11" s="64">
        <v>35</v>
      </c>
      <c r="AL11" s="64">
        <v>0</v>
      </c>
      <c r="AM11" s="65">
        <v>508</v>
      </c>
      <c r="AN11" s="69"/>
      <c r="AO11" s="107"/>
      <c r="AP11" s="49" t="s">
        <v>74</v>
      </c>
      <c r="AQ11" s="50">
        <v>0</v>
      </c>
      <c r="AR11" s="51">
        <v>18</v>
      </c>
      <c r="AS11" s="51">
        <v>19</v>
      </c>
      <c r="AT11" s="51">
        <v>3</v>
      </c>
      <c r="AU11" s="51">
        <v>0</v>
      </c>
      <c r="AV11" s="51">
        <v>0</v>
      </c>
      <c r="AW11" s="52">
        <v>40</v>
      </c>
    </row>
    <row r="12" spans="1:49" x14ac:dyDescent="0.25">
      <c r="A12" s="102"/>
      <c r="B12" s="62" t="s">
        <v>73</v>
      </c>
      <c r="C12" s="63">
        <v>0</v>
      </c>
      <c r="D12" s="64">
        <v>1</v>
      </c>
      <c r="E12" s="64">
        <v>0</v>
      </c>
      <c r="F12" s="64">
        <v>2</v>
      </c>
      <c r="G12" s="64">
        <v>1</v>
      </c>
      <c r="H12" s="64">
        <v>0</v>
      </c>
      <c r="I12" s="65">
        <v>4</v>
      </c>
      <c r="K12" s="102"/>
      <c r="L12" s="62" t="s">
        <v>75</v>
      </c>
      <c r="M12" s="63">
        <v>0</v>
      </c>
      <c r="N12" s="64">
        <v>51</v>
      </c>
      <c r="O12" s="64">
        <v>28</v>
      </c>
      <c r="P12" s="64">
        <v>23</v>
      </c>
      <c r="Q12" s="64">
        <v>16</v>
      </c>
      <c r="R12" s="64">
        <v>3</v>
      </c>
      <c r="S12" s="65">
        <v>121</v>
      </c>
      <c r="U12" s="102"/>
      <c r="V12" s="62" t="s">
        <v>74</v>
      </c>
      <c r="W12" s="63">
        <v>0</v>
      </c>
      <c r="X12" s="64">
        <v>5</v>
      </c>
      <c r="Y12" s="64">
        <v>0</v>
      </c>
      <c r="Z12" s="64">
        <v>2</v>
      </c>
      <c r="AA12" s="64">
        <v>0</v>
      </c>
      <c r="AB12" s="64">
        <v>0</v>
      </c>
      <c r="AC12" s="64">
        <v>0</v>
      </c>
      <c r="AD12" s="65">
        <v>7</v>
      </c>
      <c r="AE12" s="69"/>
      <c r="AF12" s="102"/>
      <c r="AG12" s="62" t="s">
        <v>74</v>
      </c>
      <c r="AH12" s="63">
        <v>1</v>
      </c>
      <c r="AI12" s="64">
        <v>9</v>
      </c>
      <c r="AJ12" s="64">
        <v>1</v>
      </c>
      <c r="AK12" s="64">
        <v>1</v>
      </c>
      <c r="AL12" s="64">
        <v>0</v>
      </c>
      <c r="AM12" s="65">
        <v>12</v>
      </c>
      <c r="AN12" s="69"/>
      <c r="AO12" s="107"/>
      <c r="AP12" s="49" t="s">
        <v>75</v>
      </c>
      <c r="AQ12" s="50">
        <v>0</v>
      </c>
      <c r="AR12" s="51">
        <v>41</v>
      </c>
      <c r="AS12" s="51">
        <v>39</v>
      </c>
      <c r="AT12" s="51">
        <v>28</v>
      </c>
      <c r="AU12" s="51">
        <v>7</v>
      </c>
      <c r="AV12" s="51">
        <v>0</v>
      </c>
      <c r="AW12" s="52">
        <v>115</v>
      </c>
    </row>
    <row r="13" spans="1:49" x14ac:dyDescent="0.25">
      <c r="A13" s="102"/>
      <c r="B13" s="62" t="s">
        <v>74</v>
      </c>
      <c r="C13" s="63">
        <v>0</v>
      </c>
      <c r="D13" s="64">
        <v>10</v>
      </c>
      <c r="E13" s="64">
        <v>5</v>
      </c>
      <c r="F13" s="64">
        <v>2</v>
      </c>
      <c r="G13" s="64">
        <v>2</v>
      </c>
      <c r="H13" s="64">
        <v>0</v>
      </c>
      <c r="I13" s="65">
        <v>19</v>
      </c>
      <c r="K13" s="102"/>
      <c r="L13" s="62" t="s">
        <v>96</v>
      </c>
      <c r="M13" s="63">
        <v>0</v>
      </c>
      <c r="N13" s="64">
        <v>37</v>
      </c>
      <c r="O13" s="64">
        <v>27</v>
      </c>
      <c r="P13" s="64">
        <v>32</v>
      </c>
      <c r="Q13" s="64">
        <v>43</v>
      </c>
      <c r="R13" s="64">
        <v>0</v>
      </c>
      <c r="S13" s="65">
        <v>139</v>
      </c>
      <c r="U13" s="102"/>
      <c r="V13" s="62" t="s">
        <v>75</v>
      </c>
      <c r="W13" s="63">
        <v>1</v>
      </c>
      <c r="X13" s="64">
        <v>22</v>
      </c>
      <c r="Y13" s="64">
        <v>20</v>
      </c>
      <c r="Z13" s="64">
        <v>23</v>
      </c>
      <c r="AA13" s="64">
        <v>16</v>
      </c>
      <c r="AB13" s="64">
        <v>6</v>
      </c>
      <c r="AC13" s="64">
        <v>5</v>
      </c>
      <c r="AD13" s="65">
        <v>93</v>
      </c>
      <c r="AE13" s="69"/>
      <c r="AF13" s="102"/>
      <c r="AG13" s="62" t="s">
        <v>75</v>
      </c>
      <c r="AH13" s="63">
        <v>1</v>
      </c>
      <c r="AI13" s="64">
        <v>7</v>
      </c>
      <c r="AJ13" s="64">
        <v>10</v>
      </c>
      <c r="AK13" s="64">
        <v>6</v>
      </c>
      <c r="AL13" s="64">
        <v>0</v>
      </c>
      <c r="AM13" s="65">
        <v>24</v>
      </c>
      <c r="AN13" s="69"/>
      <c r="AO13" s="107"/>
      <c r="AP13" s="49" t="s">
        <v>76</v>
      </c>
      <c r="AQ13" s="50">
        <v>1</v>
      </c>
      <c r="AR13" s="51">
        <v>114</v>
      </c>
      <c r="AS13" s="51">
        <v>114</v>
      </c>
      <c r="AT13" s="51">
        <v>3</v>
      </c>
      <c r="AU13" s="51">
        <v>0</v>
      </c>
      <c r="AV13" s="51">
        <v>0</v>
      </c>
      <c r="AW13" s="52">
        <v>232</v>
      </c>
    </row>
    <row r="14" spans="1:49" x14ac:dyDescent="0.25">
      <c r="A14" s="102"/>
      <c r="B14" s="62" t="s">
        <v>75</v>
      </c>
      <c r="C14" s="63">
        <v>0</v>
      </c>
      <c r="D14" s="64">
        <v>31</v>
      </c>
      <c r="E14" s="64">
        <v>17</v>
      </c>
      <c r="F14" s="64">
        <v>15</v>
      </c>
      <c r="G14" s="64">
        <v>13</v>
      </c>
      <c r="H14" s="64">
        <v>0</v>
      </c>
      <c r="I14" s="65">
        <v>76</v>
      </c>
      <c r="K14" s="102"/>
      <c r="L14" s="62" t="s">
        <v>97</v>
      </c>
      <c r="M14" s="63">
        <v>0</v>
      </c>
      <c r="N14" s="64">
        <v>5</v>
      </c>
      <c r="O14" s="64">
        <v>0</v>
      </c>
      <c r="P14" s="64">
        <v>0</v>
      </c>
      <c r="Q14" s="64">
        <v>0</v>
      </c>
      <c r="R14" s="64">
        <v>2</v>
      </c>
      <c r="S14" s="65">
        <v>7</v>
      </c>
      <c r="U14" s="102"/>
      <c r="V14" s="62" t="s">
        <v>102</v>
      </c>
      <c r="W14" s="63">
        <v>0</v>
      </c>
      <c r="X14" s="64">
        <v>3</v>
      </c>
      <c r="Y14" s="64">
        <v>2</v>
      </c>
      <c r="Z14" s="64">
        <v>0</v>
      </c>
      <c r="AA14" s="64">
        <v>0</v>
      </c>
      <c r="AB14" s="64">
        <v>0</v>
      </c>
      <c r="AC14" s="64">
        <v>0</v>
      </c>
      <c r="AD14" s="65">
        <v>5</v>
      </c>
      <c r="AE14" s="69"/>
      <c r="AF14" s="102"/>
      <c r="AG14" s="62" t="s">
        <v>76</v>
      </c>
      <c r="AH14" s="63">
        <v>13</v>
      </c>
      <c r="AI14" s="64">
        <v>16</v>
      </c>
      <c r="AJ14" s="64">
        <v>4</v>
      </c>
      <c r="AK14" s="64">
        <v>0</v>
      </c>
      <c r="AL14" s="64">
        <v>0</v>
      </c>
      <c r="AM14" s="65">
        <v>33</v>
      </c>
      <c r="AN14" s="69"/>
      <c r="AO14" s="107"/>
      <c r="AP14" s="49" t="s">
        <v>77</v>
      </c>
      <c r="AQ14" s="50">
        <v>0</v>
      </c>
      <c r="AR14" s="51">
        <v>53</v>
      </c>
      <c r="AS14" s="51">
        <v>62</v>
      </c>
      <c r="AT14" s="51">
        <v>2</v>
      </c>
      <c r="AU14" s="51">
        <v>0</v>
      </c>
      <c r="AV14" s="51">
        <v>0</v>
      </c>
      <c r="AW14" s="52">
        <v>117</v>
      </c>
    </row>
    <row r="15" spans="1:49" x14ac:dyDescent="0.25">
      <c r="A15" s="102"/>
      <c r="B15" s="62" t="s">
        <v>76</v>
      </c>
      <c r="C15" s="63">
        <v>0</v>
      </c>
      <c r="D15" s="64">
        <v>24</v>
      </c>
      <c r="E15" s="64">
        <v>6</v>
      </c>
      <c r="F15" s="64">
        <v>0</v>
      </c>
      <c r="G15" s="64">
        <v>0</v>
      </c>
      <c r="H15" s="64">
        <v>0</v>
      </c>
      <c r="I15" s="65">
        <v>30</v>
      </c>
      <c r="K15" s="102"/>
      <c r="L15" s="62" t="s">
        <v>80</v>
      </c>
      <c r="M15" s="63">
        <v>2</v>
      </c>
      <c r="N15" s="64">
        <v>114</v>
      </c>
      <c r="O15" s="64">
        <v>127</v>
      </c>
      <c r="P15" s="64">
        <v>168</v>
      </c>
      <c r="Q15" s="64">
        <v>405</v>
      </c>
      <c r="R15" s="64">
        <v>2</v>
      </c>
      <c r="S15" s="65">
        <v>818</v>
      </c>
      <c r="U15" s="102"/>
      <c r="V15" s="62" t="s">
        <v>96</v>
      </c>
      <c r="W15" s="63">
        <v>0</v>
      </c>
      <c r="X15" s="64">
        <v>21</v>
      </c>
      <c r="Y15" s="64">
        <v>19</v>
      </c>
      <c r="Z15" s="64">
        <v>70</v>
      </c>
      <c r="AA15" s="64">
        <v>316</v>
      </c>
      <c r="AB15" s="64">
        <v>1</v>
      </c>
      <c r="AC15" s="64">
        <v>2</v>
      </c>
      <c r="AD15" s="65">
        <v>429</v>
      </c>
      <c r="AE15" s="69"/>
      <c r="AF15" s="102"/>
      <c r="AG15" s="62" t="s">
        <v>77</v>
      </c>
      <c r="AH15" s="63">
        <v>0</v>
      </c>
      <c r="AI15" s="64">
        <v>2</v>
      </c>
      <c r="AJ15" s="64">
        <v>0</v>
      </c>
      <c r="AK15" s="64">
        <v>0</v>
      </c>
      <c r="AL15" s="64">
        <v>0</v>
      </c>
      <c r="AM15" s="65">
        <v>2</v>
      </c>
      <c r="AN15" s="69"/>
      <c r="AO15" s="107"/>
      <c r="AP15" s="49" t="s">
        <v>78</v>
      </c>
      <c r="AQ15" s="50">
        <v>0</v>
      </c>
      <c r="AR15" s="51">
        <v>1</v>
      </c>
      <c r="AS15" s="51">
        <v>6</v>
      </c>
      <c r="AT15" s="51">
        <v>0</v>
      </c>
      <c r="AU15" s="51">
        <v>0</v>
      </c>
      <c r="AV15" s="51">
        <v>0</v>
      </c>
      <c r="AW15" s="52">
        <v>7</v>
      </c>
    </row>
    <row r="16" spans="1:49" x14ac:dyDescent="0.25">
      <c r="A16" s="102"/>
      <c r="B16" s="62" t="s">
        <v>77</v>
      </c>
      <c r="C16" s="63">
        <v>0</v>
      </c>
      <c r="D16" s="64">
        <v>21</v>
      </c>
      <c r="E16" s="64">
        <v>5</v>
      </c>
      <c r="F16" s="64">
        <v>1</v>
      </c>
      <c r="G16" s="64">
        <v>0</v>
      </c>
      <c r="H16" s="64">
        <v>0</v>
      </c>
      <c r="I16" s="65">
        <v>27</v>
      </c>
      <c r="K16" s="102"/>
      <c r="L16" s="62" t="s">
        <v>81</v>
      </c>
      <c r="M16" s="63">
        <v>0</v>
      </c>
      <c r="N16" s="64">
        <v>24</v>
      </c>
      <c r="O16" s="64">
        <v>4</v>
      </c>
      <c r="P16" s="64">
        <v>2</v>
      </c>
      <c r="Q16" s="64">
        <v>1</v>
      </c>
      <c r="R16" s="64">
        <v>2</v>
      </c>
      <c r="S16" s="65">
        <v>33</v>
      </c>
      <c r="U16" s="102"/>
      <c r="V16" s="62" t="s">
        <v>97</v>
      </c>
      <c r="W16" s="63">
        <v>0</v>
      </c>
      <c r="X16" s="64">
        <v>2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5">
        <v>2</v>
      </c>
      <c r="AE16" s="69"/>
      <c r="AF16" s="102"/>
      <c r="AG16" s="62" t="s">
        <v>79</v>
      </c>
      <c r="AH16" s="63">
        <v>0</v>
      </c>
      <c r="AI16" s="64">
        <v>3</v>
      </c>
      <c r="AJ16" s="64">
        <v>0</v>
      </c>
      <c r="AK16" s="64">
        <v>0</v>
      </c>
      <c r="AL16" s="64">
        <v>0</v>
      </c>
      <c r="AM16" s="65">
        <v>3</v>
      </c>
      <c r="AN16" s="69"/>
      <c r="AO16" s="107"/>
      <c r="AP16" s="49" t="s">
        <v>79</v>
      </c>
      <c r="AQ16" s="50">
        <v>0</v>
      </c>
      <c r="AR16" s="51">
        <v>3</v>
      </c>
      <c r="AS16" s="51">
        <v>6</v>
      </c>
      <c r="AT16" s="51">
        <v>0</v>
      </c>
      <c r="AU16" s="51">
        <v>0</v>
      </c>
      <c r="AV16" s="51">
        <v>0</v>
      </c>
      <c r="AW16" s="52">
        <v>9</v>
      </c>
    </row>
    <row r="17" spans="1:49" x14ac:dyDescent="0.25">
      <c r="A17" s="102"/>
      <c r="B17" s="62" t="s">
        <v>78</v>
      </c>
      <c r="C17" s="63">
        <v>0</v>
      </c>
      <c r="D17" s="64">
        <v>1</v>
      </c>
      <c r="E17" s="64">
        <v>0</v>
      </c>
      <c r="F17" s="64">
        <v>0</v>
      </c>
      <c r="G17" s="64">
        <v>0</v>
      </c>
      <c r="H17" s="64">
        <v>0</v>
      </c>
      <c r="I17" s="65">
        <v>1</v>
      </c>
      <c r="K17" s="102"/>
      <c r="L17" s="62" t="s">
        <v>82</v>
      </c>
      <c r="M17" s="63">
        <v>0</v>
      </c>
      <c r="N17" s="64">
        <v>37</v>
      </c>
      <c r="O17" s="64">
        <v>2</v>
      </c>
      <c r="P17" s="64">
        <v>0</v>
      </c>
      <c r="Q17" s="64">
        <v>0</v>
      </c>
      <c r="R17" s="64">
        <v>2</v>
      </c>
      <c r="S17" s="65">
        <v>41</v>
      </c>
      <c r="U17" s="102"/>
      <c r="V17" s="62" t="s">
        <v>80</v>
      </c>
      <c r="W17" s="63">
        <v>0</v>
      </c>
      <c r="X17" s="64">
        <v>31</v>
      </c>
      <c r="Y17" s="64">
        <v>40</v>
      </c>
      <c r="Z17" s="64">
        <v>84</v>
      </c>
      <c r="AA17" s="64">
        <v>300</v>
      </c>
      <c r="AB17" s="64">
        <v>5</v>
      </c>
      <c r="AC17" s="64">
        <v>4</v>
      </c>
      <c r="AD17" s="65">
        <v>464</v>
      </c>
      <c r="AE17" s="69"/>
      <c r="AF17" s="102"/>
      <c r="AG17" s="62" t="s">
        <v>81</v>
      </c>
      <c r="AH17" s="63">
        <v>1</v>
      </c>
      <c r="AI17" s="64">
        <v>0</v>
      </c>
      <c r="AJ17" s="64">
        <v>0</v>
      </c>
      <c r="AK17" s="64">
        <v>0</v>
      </c>
      <c r="AL17" s="64">
        <v>0</v>
      </c>
      <c r="AM17" s="65">
        <v>1</v>
      </c>
      <c r="AN17" s="69"/>
      <c r="AO17" s="107"/>
      <c r="AP17" s="49" t="s">
        <v>80</v>
      </c>
      <c r="AQ17" s="50">
        <v>0</v>
      </c>
      <c r="AR17" s="51">
        <v>6</v>
      </c>
      <c r="AS17" s="51">
        <v>6</v>
      </c>
      <c r="AT17" s="51">
        <v>0</v>
      </c>
      <c r="AU17" s="51">
        <v>0</v>
      </c>
      <c r="AV17" s="51">
        <v>0</v>
      </c>
      <c r="AW17" s="52">
        <v>12</v>
      </c>
    </row>
    <row r="18" spans="1:49" x14ac:dyDescent="0.25">
      <c r="A18" s="102"/>
      <c r="B18" s="62" t="s">
        <v>80</v>
      </c>
      <c r="C18" s="63">
        <v>0</v>
      </c>
      <c r="D18" s="64">
        <v>1</v>
      </c>
      <c r="E18" s="64">
        <v>0</v>
      </c>
      <c r="F18" s="64">
        <v>0</v>
      </c>
      <c r="G18" s="64">
        <v>0</v>
      </c>
      <c r="H18" s="64">
        <v>0</v>
      </c>
      <c r="I18" s="65">
        <v>1</v>
      </c>
      <c r="K18" s="102"/>
      <c r="L18" s="62" t="s">
        <v>83</v>
      </c>
      <c r="M18" s="63">
        <v>0</v>
      </c>
      <c r="N18" s="64">
        <v>4</v>
      </c>
      <c r="O18" s="64">
        <v>0</v>
      </c>
      <c r="P18" s="64">
        <v>0</v>
      </c>
      <c r="Q18" s="64">
        <v>0</v>
      </c>
      <c r="R18" s="64">
        <v>0</v>
      </c>
      <c r="S18" s="65">
        <v>4</v>
      </c>
      <c r="U18" s="102"/>
      <c r="V18" s="62" t="s">
        <v>81</v>
      </c>
      <c r="W18" s="63">
        <v>0</v>
      </c>
      <c r="X18" s="64">
        <v>31</v>
      </c>
      <c r="Y18" s="64">
        <v>3</v>
      </c>
      <c r="Z18" s="64">
        <v>10</v>
      </c>
      <c r="AA18" s="64">
        <v>4</v>
      </c>
      <c r="AB18" s="64">
        <v>2</v>
      </c>
      <c r="AC18" s="64">
        <v>1</v>
      </c>
      <c r="AD18" s="65">
        <v>51</v>
      </c>
      <c r="AE18" s="69"/>
      <c r="AF18" s="102"/>
      <c r="AG18" s="62" t="s">
        <v>109</v>
      </c>
      <c r="AH18" s="63">
        <v>0</v>
      </c>
      <c r="AI18" s="64">
        <v>2</v>
      </c>
      <c r="AJ18" s="64">
        <v>2</v>
      </c>
      <c r="AK18" s="64">
        <v>0</v>
      </c>
      <c r="AL18" s="64">
        <v>0</v>
      </c>
      <c r="AM18" s="65">
        <v>4</v>
      </c>
      <c r="AN18" s="69"/>
      <c r="AO18" s="107"/>
      <c r="AP18" s="49" t="s">
        <v>81</v>
      </c>
      <c r="AQ18" s="50">
        <v>0</v>
      </c>
      <c r="AR18" s="51">
        <v>10</v>
      </c>
      <c r="AS18" s="51">
        <v>33</v>
      </c>
      <c r="AT18" s="51">
        <v>8</v>
      </c>
      <c r="AU18" s="51">
        <v>2</v>
      </c>
      <c r="AV18" s="51">
        <v>1</v>
      </c>
      <c r="AW18" s="52">
        <v>54</v>
      </c>
    </row>
    <row r="19" spans="1:49" x14ac:dyDescent="0.25">
      <c r="A19" s="102"/>
      <c r="B19" s="62" t="s">
        <v>81</v>
      </c>
      <c r="C19" s="63">
        <v>0</v>
      </c>
      <c r="D19" s="64">
        <v>14</v>
      </c>
      <c r="E19" s="64">
        <v>1</v>
      </c>
      <c r="F19" s="64">
        <v>0</v>
      </c>
      <c r="G19" s="64">
        <v>0</v>
      </c>
      <c r="H19" s="64">
        <v>0</v>
      </c>
      <c r="I19" s="65">
        <v>15</v>
      </c>
      <c r="K19" s="102"/>
      <c r="L19" s="62" t="s">
        <v>98</v>
      </c>
      <c r="M19" s="63">
        <v>0</v>
      </c>
      <c r="N19" s="64">
        <v>6</v>
      </c>
      <c r="O19" s="64">
        <v>3</v>
      </c>
      <c r="P19" s="64">
        <v>0</v>
      </c>
      <c r="Q19" s="64">
        <v>1</v>
      </c>
      <c r="R19" s="64">
        <v>2</v>
      </c>
      <c r="S19" s="65">
        <v>12</v>
      </c>
      <c r="U19" s="102"/>
      <c r="V19" s="62" t="s">
        <v>82</v>
      </c>
      <c r="W19" s="63">
        <v>0</v>
      </c>
      <c r="X19" s="64">
        <v>37</v>
      </c>
      <c r="Y19" s="64">
        <v>12</v>
      </c>
      <c r="Z19" s="64">
        <v>1</v>
      </c>
      <c r="AA19" s="64">
        <v>0</v>
      </c>
      <c r="AB19" s="64">
        <v>14</v>
      </c>
      <c r="AC19" s="64">
        <v>0</v>
      </c>
      <c r="AD19" s="65">
        <v>64</v>
      </c>
      <c r="AE19" s="69"/>
      <c r="AF19" s="102"/>
      <c r="AG19" s="62" t="s">
        <v>84</v>
      </c>
      <c r="AH19" s="63">
        <v>0</v>
      </c>
      <c r="AI19" s="64">
        <v>3</v>
      </c>
      <c r="AJ19" s="64">
        <v>0</v>
      </c>
      <c r="AK19" s="64">
        <v>0</v>
      </c>
      <c r="AL19" s="64">
        <v>0</v>
      </c>
      <c r="AM19" s="65">
        <v>3</v>
      </c>
      <c r="AN19" s="69"/>
      <c r="AO19" s="107"/>
      <c r="AP19" s="49" t="s">
        <v>82</v>
      </c>
      <c r="AQ19" s="50">
        <v>0</v>
      </c>
      <c r="AR19" s="51">
        <v>1</v>
      </c>
      <c r="AS19" s="51">
        <v>1</v>
      </c>
      <c r="AT19" s="51">
        <v>0</v>
      </c>
      <c r="AU19" s="51">
        <v>0</v>
      </c>
      <c r="AV19" s="51">
        <v>0</v>
      </c>
      <c r="AW19" s="52">
        <v>2</v>
      </c>
    </row>
    <row r="20" spans="1:49" ht="15.75" thickBot="1" x14ac:dyDescent="0.3">
      <c r="A20" s="102"/>
      <c r="B20" s="62" t="s">
        <v>84</v>
      </c>
      <c r="C20" s="63">
        <v>0</v>
      </c>
      <c r="D20" s="64">
        <v>2</v>
      </c>
      <c r="E20" s="64">
        <v>0</v>
      </c>
      <c r="F20" s="64">
        <v>0</v>
      </c>
      <c r="G20" s="64">
        <v>0</v>
      </c>
      <c r="H20" s="64">
        <v>0</v>
      </c>
      <c r="I20" s="65">
        <v>2</v>
      </c>
      <c r="K20" s="110" t="s">
        <v>28</v>
      </c>
      <c r="L20" s="111"/>
      <c r="M20" s="66">
        <v>4</v>
      </c>
      <c r="N20" s="67">
        <v>1210</v>
      </c>
      <c r="O20" s="67">
        <v>626</v>
      </c>
      <c r="P20" s="67">
        <v>527</v>
      </c>
      <c r="Q20" s="67">
        <v>605</v>
      </c>
      <c r="R20" s="67">
        <v>28</v>
      </c>
      <c r="S20" s="68">
        <v>3000</v>
      </c>
      <c r="U20" s="102"/>
      <c r="V20" s="62" t="s">
        <v>83</v>
      </c>
      <c r="W20" s="63">
        <v>0</v>
      </c>
      <c r="X20" s="64">
        <v>2</v>
      </c>
      <c r="Y20" s="64">
        <v>0</v>
      </c>
      <c r="Z20" s="64">
        <v>0</v>
      </c>
      <c r="AA20" s="64">
        <v>0</v>
      </c>
      <c r="AB20" s="64">
        <v>5</v>
      </c>
      <c r="AC20" s="64">
        <v>0</v>
      </c>
      <c r="AD20" s="65">
        <v>7</v>
      </c>
      <c r="AE20" s="69"/>
      <c r="AF20" s="102"/>
      <c r="AG20" s="62" t="s">
        <v>91</v>
      </c>
      <c r="AH20" s="63">
        <v>8</v>
      </c>
      <c r="AI20" s="64">
        <v>17</v>
      </c>
      <c r="AJ20" s="64">
        <v>1</v>
      </c>
      <c r="AK20" s="64">
        <v>0</v>
      </c>
      <c r="AL20" s="64">
        <v>1</v>
      </c>
      <c r="AM20" s="65">
        <v>27</v>
      </c>
      <c r="AN20" s="69"/>
      <c r="AO20" s="107"/>
      <c r="AP20" s="49" t="s">
        <v>83</v>
      </c>
      <c r="AQ20" s="50">
        <v>0</v>
      </c>
      <c r="AR20" s="51">
        <v>17</v>
      </c>
      <c r="AS20" s="51">
        <v>9</v>
      </c>
      <c r="AT20" s="51">
        <v>0</v>
      </c>
      <c r="AU20" s="51">
        <v>0</v>
      </c>
      <c r="AV20" s="51">
        <v>0</v>
      </c>
      <c r="AW20" s="52">
        <v>26</v>
      </c>
    </row>
    <row r="21" spans="1:49" ht="15.75" thickTop="1" x14ac:dyDescent="0.25">
      <c r="A21" s="102"/>
      <c r="B21" s="62" t="s">
        <v>85</v>
      </c>
      <c r="C21" s="63">
        <v>0</v>
      </c>
      <c r="D21" s="64">
        <v>2</v>
      </c>
      <c r="E21" s="64">
        <v>0</v>
      </c>
      <c r="F21" s="64">
        <v>0</v>
      </c>
      <c r="G21" s="64">
        <v>0</v>
      </c>
      <c r="H21" s="64">
        <v>0</v>
      </c>
      <c r="I21" s="65">
        <v>2</v>
      </c>
      <c r="U21" s="102"/>
      <c r="V21" s="62" t="s">
        <v>103</v>
      </c>
      <c r="W21" s="63">
        <v>0</v>
      </c>
      <c r="X21" s="64">
        <v>5</v>
      </c>
      <c r="Y21" s="64">
        <v>0</v>
      </c>
      <c r="Z21" s="64">
        <v>0</v>
      </c>
      <c r="AA21" s="64">
        <v>0</v>
      </c>
      <c r="AB21" s="64">
        <v>0</v>
      </c>
      <c r="AC21" s="64">
        <v>0</v>
      </c>
      <c r="AD21" s="65">
        <v>5</v>
      </c>
      <c r="AE21" s="69"/>
      <c r="AF21" s="102"/>
      <c r="AG21" s="62" t="s">
        <v>103</v>
      </c>
      <c r="AH21" s="63">
        <v>3</v>
      </c>
      <c r="AI21" s="64">
        <v>2</v>
      </c>
      <c r="AJ21" s="64">
        <v>0</v>
      </c>
      <c r="AK21" s="64">
        <v>0</v>
      </c>
      <c r="AL21" s="64">
        <v>0</v>
      </c>
      <c r="AM21" s="65">
        <v>5</v>
      </c>
      <c r="AN21" s="69"/>
      <c r="AO21" s="107"/>
      <c r="AP21" s="49" t="s">
        <v>84</v>
      </c>
      <c r="AQ21" s="50">
        <v>0</v>
      </c>
      <c r="AR21" s="51">
        <v>16</v>
      </c>
      <c r="AS21" s="51">
        <v>15</v>
      </c>
      <c r="AT21" s="51">
        <v>1</v>
      </c>
      <c r="AU21" s="51">
        <v>0</v>
      </c>
      <c r="AV21" s="51">
        <v>0</v>
      </c>
      <c r="AW21" s="52">
        <v>32</v>
      </c>
    </row>
    <row r="22" spans="1:49" x14ac:dyDescent="0.25">
      <c r="A22" s="102"/>
      <c r="B22" s="62" t="s">
        <v>91</v>
      </c>
      <c r="C22" s="63">
        <v>0</v>
      </c>
      <c r="D22" s="64">
        <v>2</v>
      </c>
      <c r="E22" s="64">
        <v>1</v>
      </c>
      <c r="F22" s="64">
        <v>1</v>
      </c>
      <c r="G22" s="64">
        <v>1</v>
      </c>
      <c r="H22" s="64">
        <v>0</v>
      </c>
      <c r="I22" s="65">
        <v>5</v>
      </c>
      <c r="U22" s="102"/>
      <c r="V22" s="62" t="s">
        <v>104</v>
      </c>
      <c r="W22" s="63">
        <v>0</v>
      </c>
      <c r="X22" s="64">
        <v>1</v>
      </c>
      <c r="Y22" s="64">
        <v>0</v>
      </c>
      <c r="Z22" s="64">
        <v>0</v>
      </c>
      <c r="AA22" s="64">
        <v>0</v>
      </c>
      <c r="AB22" s="64">
        <v>0</v>
      </c>
      <c r="AC22" s="64">
        <v>0</v>
      </c>
      <c r="AD22" s="65">
        <v>1</v>
      </c>
      <c r="AE22" s="69"/>
      <c r="AF22" s="102"/>
      <c r="AG22" s="62" t="s">
        <v>104</v>
      </c>
      <c r="AH22" s="63">
        <v>0</v>
      </c>
      <c r="AI22" s="64">
        <v>1</v>
      </c>
      <c r="AJ22" s="64">
        <v>0</v>
      </c>
      <c r="AK22" s="64">
        <v>0</v>
      </c>
      <c r="AL22" s="64">
        <v>0</v>
      </c>
      <c r="AM22" s="65">
        <v>1</v>
      </c>
      <c r="AN22" s="69"/>
      <c r="AO22" s="107"/>
      <c r="AP22" s="49" t="s">
        <v>85</v>
      </c>
      <c r="AQ22" s="50">
        <v>0</v>
      </c>
      <c r="AR22" s="51">
        <v>0</v>
      </c>
      <c r="AS22" s="51">
        <v>2</v>
      </c>
      <c r="AT22" s="51">
        <v>0</v>
      </c>
      <c r="AU22" s="51">
        <v>0</v>
      </c>
      <c r="AV22" s="51">
        <v>0</v>
      </c>
      <c r="AW22" s="52">
        <v>2</v>
      </c>
    </row>
    <row r="23" spans="1:49" x14ac:dyDescent="0.25">
      <c r="A23" s="102"/>
      <c r="B23" s="62" t="s">
        <v>92</v>
      </c>
      <c r="C23" s="63">
        <v>0</v>
      </c>
      <c r="D23" s="64">
        <v>4</v>
      </c>
      <c r="E23" s="64">
        <v>0</v>
      </c>
      <c r="F23" s="64">
        <v>0</v>
      </c>
      <c r="G23" s="64">
        <v>0</v>
      </c>
      <c r="H23" s="64">
        <v>0</v>
      </c>
      <c r="I23" s="65">
        <v>4</v>
      </c>
      <c r="U23" s="102"/>
      <c r="V23" s="62" t="s">
        <v>105</v>
      </c>
      <c r="W23" s="63">
        <v>0</v>
      </c>
      <c r="X23" s="64">
        <v>2</v>
      </c>
      <c r="Y23" s="64">
        <v>0</v>
      </c>
      <c r="Z23" s="64">
        <v>0</v>
      </c>
      <c r="AA23" s="64">
        <v>0</v>
      </c>
      <c r="AB23" s="64">
        <v>7</v>
      </c>
      <c r="AC23" s="64">
        <v>0</v>
      </c>
      <c r="AD23" s="65">
        <v>9</v>
      </c>
      <c r="AE23" s="69"/>
      <c r="AF23" s="102"/>
      <c r="AG23" s="62" t="s">
        <v>110</v>
      </c>
      <c r="AH23" s="63">
        <v>0</v>
      </c>
      <c r="AI23" s="64">
        <v>1</v>
      </c>
      <c r="AJ23" s="64">
        <v>0</v>
      </c>
      <c r="AK23" s="64">
        <v>0</v>
      </c>
      <c r="AL23" s="64">
        <v>0</v>
      </c>
      <c r="AM23" s="65">
        <v>1</v>
      </c>
      <c r="AN23" s="69"/>
      <c r="AO23" s="107"/>
      <c r="AP23" s="49" t="s">
        <v>86</v>
      </c>
      <c r="AQ23" s="50">
        <v>0</v>
      </c>
      <c r="AR23" s="51">
        <v>1</v>
      </c>
      <c r="AS23" s="51">
        <v>0</v>
      </c>
      <c r="AT23" s="51">
        <v>0</v>
      </c>
      <c r="AU23" s="51">
        <v>0</v>
      </c>
      <c r="AV23" s="51">
        <v>0</v>
      </c>
      <c r="AW23" s="52">
        <v>1</v>
      </c>
    </row>
    <row r="24" spans="1:49" ht="15.75" thickBot="1" x14ac:dyDescent="0.3">
      <c r="A24" s="102"/>
      <c r="B24" s="62" t="s">
        <v>86</v>
      </c>
      <c r="C24" s="63">
        <v>0</v>
      </c>
      <c r="D24" s="64">
        <v>1</v>
      </c>
      <c r="E24" s="64">
        <v>0</v>
      </c>
      <c r="F24" s="64">
        <v>0</v>
      </c>
      <c r="G24" s="64">
        <v>0</v>
      </c>
      <c r="H24" s="64">
        <v>0</v>
      </c>
      <c r="I24" s="65">
        <v>1</v>
      </c>
      <c r="U24" s="102"/>
      <c r="V24" s="62" t="s">
        <v>106</v>
      </c>
      <c r="W24" s="63">
        <v>0</v>
      </c>
      <c r="X24" s="64">
        <v>1</v>
      </c>
      <c r="Y24" s="64">
        <v>0</v>
      </c>
      <c r="Z24" s="64">
        <v>0</v>
      </c>
      <c r="AA24" s="64">
        <v>0</v>
      </c>
      <c r="AB24" s="64">
        <v>0</v>
      </c>
      <c r="AC24" s="64">
        <v>0</v>
      </c>
      <c r="AD24" s="65">
        <v>1</v>
      </c>
      <c r="AE24" s="69"/>
      <c r="AF24" s="110" t="s">
        <v>28</v>
      </c>
      <c r="AG24" s="111"/>
      <c r="AH24" s="66">
        <v>654</v>
      </c>
      <c r="AI24" s="67">
        <v>1121</v>
      </c>
      <c r="AJ24" s="67">
        <v>946</v>
      </c>
      <c r="AK24" s="67">
        <v>274</v>
      </c>
      <c r="AL24" s="67">
        <v>5</v>
      </c>
      <c r="AM24" s="68">
        <v>3000</v>
      </c>
      <c r="AN24" s="69"/>
      <c r="AO24" s="107"/>
      <c r="AP24" s="49" t="s">
        <v>87</v>
      </c>
      <c r="AQ24" s="50">
        <v>0</v>
      </c>
      <c r="AR24" s="51">
        <v>1</v>
      </c>
      <c r="AS24" s="51">
        <v>0</v>
      </c>
      <c r="AT24" s="51">
        <v>0</v>
      </c>
      <c r="AU24" s="51">
        <v>0</v>
      </c>
      <c r="AV24" s="51">
        <v>0</v>
      </c>
      <c r="AW24" s="52">
        <v>1</v>
      </c>
    </row>
    <row r="25" spans="1:49" ht="16.5" thickTop="1" thickBot="1" x14ac:dyDescent="0.3">
      <c r="A25" s="110" t="s">
        <v>28</v>
      </c>
      <c r="B25" s="111"/>
      <c r="C25" s="66">
        <v>1</v>
      </c>
      <c r="D25" s="67">
        <v>912</v>
      </c>
      <c r="E25" s="67">
        <v>508</v>
      </c>
      <c r="F25" s="67">
        <v>681</v>
      </c>
      <c r="G25" s="67">
        <v>892</v>
      </c>
      <c r="H25" s="67">
        <v>6</v>
      </c>
      <c r="I25" s="68">
        <v>3000</v>
      </c>
      <c r="U25" s="110" t="s">
        <v>28</v>
      </c>
      <c r="V25" s="111"/>
      <c r="W25" s="66">
        <v>3</v>
      </c>
      <c r="X25" s="67">
        <v>801</v>
      </c>
      <c r="Y25" s="67">
        <v>379</v>
      </c>
      <c r="Z25" s="67">
        <v>655</v>
      </c>
      <c r="AA25" s="67">
        <v>1013</v>
      </c>
      <c r="AB25" s="67">
        <v>89</v>
      </c>
      <c r="AC25" s="67">
        <v>60</v>
      </c>
      <c r="AD25" s="68">
        <v>3000</v>
      </c>
      <c r="AE25" s="69"/>
      <c r="AO25" s="108" t="s">
        <v>28</v>
      </c>
      <c r="AP25" s="109"/>
      <c r="AQ25" s="53">
        <v>4</v>
      </c>
      <c r="AR25" s="54">
        <v>657</v>
      </c>
      <c r="AS25" s="54">
        <v>1183</v>
      </c>
      <c r="AT25" s="54">
        <v>809</v>
      </c>
      <c r="AU25" s="54">
        <v>361</v>
      </c>
      <c r="AV25" s="54">
        <v>1</v>
      </c>
      <c r="AW25" s="55">
        <v>3015</v>
      </c>
    </row>
    <row r="26" spans="1:49" ht="15.75" thickTop="1" x14ac:dyDescent="0.25"/>
  </sheetData>
  <mergeCells count="35">
    <mergeCell ref="A5:A24"/>
    <mergeCell ref="A25:B25"/>
    <mergeCell ref="U25:V25"/>
    <mergeCell ref="K1:S1"/>
    <mergeCell ref="A1:I1"/>
    <mergeCell ref="A2:I2"/>
    <mergeCell ref="A3:B4"/>
    <mergeCell ref="C3:H3"/>
    <mergeCell ref="I3:I4"/>
    <mergeCell ref="M3:R3"/>
    <mergeCell ref="S3:S4"/>
    <mergeCell ref="K5:K19"/>
    <mergeCell ref="U1:AD1"/>
    <mergeCell ref="U2:AD2"/>
    <mergeCell ref="U3:V4"/>
    <mergeCell ref="W3:AC3"/>
    <mergeCell ref="AO1:AW1"/>
    <mergeCell ref="AO2:AW2"/>
    <mergeCell ref="AO3:AP4"/>
    <mergeCell ref="AQ3:AV3"/>
    <mergeCell ref="AW3:AW4"/>
    <mergeCell ref="AO5:AO24"/>
    <mergeCell ref="AO25:AP25"/>
    <mergeCell ref="K20:L20"/>
    <mergeCell ref="AF5:AF23"/>
    <mergeCell ref="AF24:AG24"/>
    <mergeCell ref="K2:S2"/>
    <mergeCell ref="K3:L4"/>
    <mergeCell ref="AD3:AD4"/>
    <mergeCell ref="U5:U24"/>
    <mergeCell ref="AF1:AM1"/>
    <mergeCell ref="AF2:AM2"/>
    <mergeCell ref="AF3:AG4"/>
    <mergeCell ref="AH3:AL3"/>
    <mergeCell ref="AM3:A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Gettysburg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Rutherford V. Platt</dc:creator>
  <cp:lastModifiedBy>rls67</cp:lastModifiedBy>
  <dcterms:created xsi:type="dcterms:W3CDTF">2013-10-08T14:47:37Z</dcterms:created>
  <dcterms:modified xsi:type="dcterms:W3CDTF">2014-07-30T22:00:12Z</dcterms:modified>
</cp:coreProperties>
</file>