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vananderson/Desktop/Doctorate Degree, Lingering Things/Dissertation Components Mac/Second Copy Mac/"/>
    </mc:Choice>
  </mc:AlternateContent>
  <bookViews>
    <workbookView xWindow="5500" yWindow="1320" windowWidth="22540" windowHeight="14260" tabRatio="1000" firstSheet="3" activeTab="7"/>
  </bookViews>
  <sheets>
    <sheet name="Paleoburn" sheetId="1" r:id="rId1"/>
    <sheet name="Anvil Points" sheetId="3" r:id="rId2"/>
    <sheet name="Kishenehn Beetles" sheetId="4" r:id="rId3"/>
    <sheet name="Claudia's Place Beetles" sheetId="5" r:id="rId4"/>
    <sheet name="Stewart Valley" sheetId="6" r:id="rId5"/>
    <sheet name="Florissant" sheetId="7" r:id="rId6"/>
    <sheet name="Statistics and Chi-Squared 1" sheetId="8" r:id="rId7"/>
    <sheet name="Statistics and Chi-Squared 2" sheetId="9" r:id="rId8"/>
    <sheet name="Articulation Analysis" sheetId="10" r:id="rId9"/>
    <sheet name="Body Area Analysis" sheetId="11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8" i="3" l="1"/>
  <c r="D88" i="3"/>
  <c r="E401" i="3"/>
  <c r="D401" i="3"/>
  <c r="E382" i="3"/>
  <c r="D382" i="3"/>
  <c r="E87" i="3"/>
  <c r="D87" i="3"/>
  <c r="E173" i="3"/>
  <c r="D173" i="3"/>
  <c r="E380" i="3"/>
  <c r="D380" i="3"/>
  <c r="E73" i="3"/>
  <c r="D73" i="3"/>
  <c r="E478" i="3"/>
  <c r="D478" i="3"/>
  <c r="E82" i="3"/>
  <c r="D82" i="3"/>
  <c r="E400" i="3"/>
  <c r="D400" i="3"/>
  <c r="E273" i="3"/>
  <c r="D273" i="3"/>
  <c r="E280" i="3"/>
  <c r="D280" i="3"/>
  <c r="E283" i="3"/>
  <c r="D283" i="3"/>
  <c r="E86" i="3"/>
  <c r="D86" i="3"/>
  <c r="E271" i="3"/>
  <c r="D271" i="3"/>
  <c r="E379" i="3"/>
  <c r="D379" i="3"/>
  <c r="E41" i="3"/>
  <c r="D41" i="3"/>
  <c r="E398" i="3"/>
  <c r="D398" i="3"/>
  <c r="E154" i="3"/>
  <c r="D154" i="3"/>
  <c r="E197" i="3"/>
  <c r="D197" i="3"/>
  <c r="E298" i="3"/>
  <c r="D298" i="3"/>
  <c r="E418" i="3"/>
  <c r="D418" i="3"/>
  <c r="E40" i="3"/>
  <c r="D40" i="3"/>
  <c r="E147" i="3"/>
  <c r="D147" i="3"/>
  <c r="E268" i="3"/>
  <c r="D268" i="3"/>
  <c r="D377" i="3"/>
  <c r="E397" i="3"/>
  <c r="D397" i="3"/>
  <c r="E376" i="3"/>
  <c r="D376" i="3"/>
  <c r="E375" i="3"/>
  <c r="D375" i="3"/>
  <c r="E166" i="3"/>
  <c r="D166" i="3"/>
  <c r="E435" i="3"/>
  <c r="D435" i="3"/>
  <c r="E245" i="3"/>
  <c r="D245" i="3"/>
  <c r="E38" i="3"/>
  <c r="D38" i="3"/>
  <c r="E37" i="3"/>
  <c r="D37" i="3"/>
  <c r="E326" i="3"/>
  <c r="D326" i="3"/>
  <c r="E396" i="3"/>
  <c r="D396" i="3"/>
  <c r="E325" i="3"/>
  <c r="D325" i="3"/>
  <c r="E388" i="3"/>
  <c r="D388" i="3"/>
  <c r="E434" i="3"/>
  <c r="D434" i="3"/>
  <c r="E142" i="3"/>
  <c r="D142" i="3"/>
  <c r="E35" i="3"/>
  <c r="E373" i="3"/>
  <c r="D373" i="3"/>
  <c r="E141" i="3"/>
  <c r="D141" i="3"/>
  <c r="E34" i="3"/>
  <c r="D34" i="3"/>
  <c r="E265" i="3"/>
  <c r="D265" i="3"/>
  <c r="E33" i="3"/>
  <c r="D33" i="3"/>
  <c r="E381" i="3"/>
  <c r="D381" i="3"/>
  <c r="E323" i="3"/>
  <c r="D323" i="3"/>
  <c r="E339" i="3"/>
  <c r="D339" i="3"/>
  <c r="E32" i="3"/>
  <c r="D32" i="3"/>
  <c r="E164" i="3"/>
  <c r="D164" i="3"/>
  <c r="E139" i="3"/>
  <c r="D139" i="3"/>
  <c r="E138" i="3"/>
  <c r="D138" i="3"/>
  <c r="E278" i="3"/>
  <c r="D278" i="3"/>
  <c r="E370" i="3"/>
  <c r="D370" i="3"/>
  <c r="E163" i="3"/>
  <c r="D163" i="3"/>
  <c r="E171" i="3"/>
  <c r="D171" i="3"/>
  <c r="E286" i="3"/>
  <c r="D286" i="3"/>
  <c r="D75" i="3"/>
  <c r="E70" i="3"/>
  <c r="D70" i="3"/>
  <c r="E394" i="3"/>
  <c r="D394" i="3"/>
  <c r="E454" i="3"/>
  <c r="D454" i="3"/>
  <c r="E476" i="3"/>
  <c r="E377" i="3"/>
  <c r="E98" i="3"/>
  <c r="D98" i="3"/>
  <c r="E97" i="3"/>
  <c r="D97" i="3"/>
  <c r="E395" i="3"/>
  <c r="D395" i="3"/>
  <c r="E296" i="3"/>
  <c r="D296" i="3"/>
  <c r="E96" i="3"/>
  <c r="D96" i="3"/>
  <c r="E282" i="3"/>
  <c r="D282" i="3"/>
  <c r="J20" i="10"/>
  <c r="I20" i="10"/>
  <c r="H20" i="10"/>
  <c r="G20" i="10"/>
  <c r="F20" i="10"/>
  <c r="E20" i="10"/>
  <c r="D20" i="10"/>
  <c r="C20" i="10"/>
  <c r="J6" i="10"/>
  <c r="I6" i="10"/>
  <c r="H6" i="10"/>
  <c r="G6" i="10"/>
  <c r="F6" i="10"/>
  <c r="E6" i="10"/>
  <c r="D6" i="10"/>
  <c r="C6" i="10"/>
  <c r="J3" i="10"/>
  <c r="I3" i="10"/>
  <c r="H3" i="10"/>
  <c r="G3" i="10"/>
  <c r="F3" i="10"/>
  <c r="E3" i="10"/>
  <c r="D3" i="10"/>
  <c r="C3" i="10"/>
  <c r="W56" i="8"/>
  <c r="W57" i="8"/>
  <c r="W55" i="8"/>
  <c r="W47" i="8"/>
  <c r="W48" i="8"/>
  <c r="W46" i="8"/>
  <c r="W38" i="8"/>
  <c r="W39" i="8"/>
  <c r="W37" i="8"/>
  <c r="W29" i="8"/>
  <c r="W30" i="8"/>
  <c r="W28" i="8"/>
  <c r="W6" i="8"/>
  <c r="W7" i="8"/>
  <c r="W8" i="8"/>
  <c r="W9" i="8"/>
  <c r="W10" i="8"/>
  <c r="W11" i="8"/>
  <c r="W5" i="8"/>
  <c r="W75" i="8"/>
  <c r="W76" i="8"/>
  <c r="W77" i="8"/>
  <c r="W74" i="8"/>
  <c r="V77" i="8"/>
  <c r="W65" i="8"/>
  <c r="W66" i="8"/>
  <c r="W67" i="8"/>
  <c r="W64" i="8"/>
  <c r="W19" i="8"/>
  <c r="W20" i="8"/>
  <c r="W21" i="8"/>
  <c r="W18" i="8"/>
  <c r="V67" i="8"/>
  <c r="V21" i="8"/>
  <c r="H77" i="8"/>
  <c r="I65" i="8"/>
  <c r="I66" i="8"/>
  <c r="I67" i="8"/>
  <c r="I64" i="8"/>
  <c r="H67" i="8"/>
  <c r="I19" i="8"/>
  <c r="I20" i="8"/>
  <c r="I21" i="8"/>
  <c r="I18" i="8"/>
  <c r="AB73" i="8"/>
  <c r="AB75" i="8"/>
  <c r="AD74" i="8"/>
  <c r="AA74" i="8"/>
  <c r="AD75" i="8"/>
  <c r="AA75" i="8"/>
  <c r="AD73" i="8"/>
  <c r="AA73" i="8"/>
  <c r="Z73" i="8"/>
  <c r="Z75" i="8"/>
  <c r="AC74" i="8"/>
  <c r="AC75" i="8"/>
  <c r="AC73" i="8"/>
  <c r="Z65" i="8"/>
  <c r="AC64" i="8"/>
  <c r="AC65" i="8"/>
  <c r="AC63" i="8"/>
  <c r="AB65" i="8"/>
  <c r="AB54" i="8"/>
  <c r="AB56" i="8"/>
  <c r="AD55" i="8"/>
  <c r="AA55" i="8"/>
  <c r="AD56" i="8"/>
  <c r="AA56" i="8"/>
  <c r="AD54" i="8"/>
  <c r="AA54" i="8"/>
  <c r="Z54" i="8"/>
  <c r="Z56" i="8"/>
  <c r="AC55" i="8"/>
  <c r="AC56" i="8"/>
  <c r="AC54" i="8"/>
  <c r="AB45" i="8"/>
  <c r="AB47" i="8"/>
  <c r="AD46" i="8"/>
  <c r="AA46" i="8"/>
  <c r="AD47" i="8"/>
  <c r="AA47" i="8"/>
  <c r="AD45" i="8"/>
  <c r="AA45" i="8"/>
  <c r="Z45" i="8"/>
  <c r="Z47" i="8"/>
  <c r="AC46" i="8"/>
  <c r="AC47" i="8"/>
  <c r="AC45" i="8"/>
  <c r="AB36" i="8"/>
  <c r="AB38" i="8"/>
  <c r="AD37" i="8"/>
  <c r="AA37" i="8"/>
  <c r="AD38" i="8"/>
  <c r="AA38" i="8"/>
  <c r="AD36" i="8"/>
  <c r="AA36" i="8"/>
  <c r="Z36" i="8"/>
  <c r="Z38" i="8"/>
  <c r="AC37" i="8"/>
  <c r="AC38" i="8"/>
  <c r="AC36" i="8"/>
  <c r="AB17" i="8"/>
  <c r="AB19" i="8"/>
  <c r="AD18" i="8"/>
  <c r="AA18" i="8"/>
  <c r="AD19" i="8"/>
  <c r="AA19" i="8"/>
  <c r="AD17" i="8"/>
  <c r="AA17" i="8"/>
  <c r="Z17" i="8"/>
  <c r="Z19" i="8"/>
  <c r="AC18" i="8"/>
  <c r="AC19" i="8"/>
  <c r="AC17" i="8"/>
  <c r="B34" i="8"/>
  <c r="B20" i="8"/>
  <c r="K65" i="9"/>
  <c r="K66" i="9"/>
  <c r="K67" i="9"/>
  <c r="K68" i="9"/>
  <c r="K64" i="9"/>
  <c r="I65" i="9"/>
  <c r="I66" i="9"/>
  <c r="I67" i="9"/>
  <c r="I68" i="9"/>
  <c r="I64" i="9"/>
  <c r="G65" i="9"/>
  <c r="G66" i="9"/>
  <c r="G67" i="9"/>
  <c r="G68" i="9"/>
  <c r="G64" i="9"/>
  <c r="E65" i="9"/>
  <c r="E66" i="9"/>
  <c r="E67" i="9"/>
  <c r="E68" i="9"/>
  <c r="E64" i="9"/>
  <c r="B65" i="9"/>
  <c r="C65" i="9"/>
  <c r="C66" i="9"/>
  <c r="C67" i="9"/>
  <c r="C68" i="9"/>
  <c r="C64" i="9"/>
  <c r="K56" i="9"/>
  <c r="K57" i="9"/>
  <c r="K58" i="9"/>
  <c r="K59" i="9"/>
  <c r="K55" i="9"/>
  <c r="I56" i="9"/>
  <c r="I57" i="9"/>
  <c r="I58" i="9"/>
  <c r="I59" i="9"/>
  <c r="I55" i="9"/>
  <c r="G58" i="9"/>
  <c r="G59" i="9"/>
  <c r="G57" i="9"/>
  <c r="E56" i="9"/>
  <c r="E57" i="9"/>
  <c r="E58" i="9"/>
  <c r="E59" i="9"/>
  <c r="E55" i="9"/>
  <c r="B56" i="9"/>
  <c r="C56" i="9"/>
  <c r="C55" i="9"/>
  <c r="I15" i="9"/>
  <c r="C59" i="9"/>
  <c r="C58" i="9"/>
  <c r="C57" i="9"/>
  <c r="I48" i="9"/>
  <c r="B51" i="9"/>
  <c r="C48" i="9"/>
  <c r="C49" i="9"/>
  <c r="C50" i="9"/>
  <c r="C47" i="9"/>
  <c r="I40" i="9"/>
  <c r="C40" i="9"/>
  <c r="K32" i="9"/>
  <c r="I32" i="9"/>
  <c r="G32" i="9"/>
  <c r="E32" i="9"/>
  <c r="C32" i="9"/>
  <c r="C33" i="9"/>
  <c r="C34" i="9"/>
  <c r="C31" i="9"/>
  <c r="C27" i="9"/>
  <c r="C11" i="9"/>
  <c r="B11" i="9"/>
  <c r="K16" i="9"/>
  <c r="K17" i="9"/>
  <c r="K18" i="9"/>
  <c r="K19" i="9"/>
  <c r="K15" i="9"/>
  <c r="I16" i="9"/>
  <c r="I17" i="9"/>
  <c r="I18" i="9"/>
  <c r="I19" i="9"/>
  <c r="G16" i="9"/>
  <c r="G17" i="9"/>
  <c r="G18" i="9"/>
  <c r="G19" i="9"/>
  <c r="G15" i="9"/>
  <c r="E16" i="9"/>
  <c r="E17" i="9"/>
  <c r="E18" i="9"/>
  <c r="E19" i="9"/>
  <c r="E15" i="9"/>
  <c r="B16" i="9"/>
  <c r="C16" i="9"/>
  <c r="C17" i="9"/>
  <c r="C18" i="9"/>
  <c r="C19" i="9"/>
  <c r="C15" i="9"/>
</calcChain>
</file>

<file path=xl/sharedStrings.xml><?xml version="1.0" encoding="utf-8"?>
<sst xmlns="http://schemas.openxmlformats.org/spreadsheetml/2006/main" count="5813" uniqueCount="3034">
  <si>
    <t>"Pairwise Insufficient" was listed, which means that a chi-squared test of a</t>
    <phoneticPr fontId="10" type="noConversion"/>
  </si>
  <si>
    <t>Supplementary Table</t>
    <phoneticPr fontId="10" type="noConversion"/>
  </si>
  <si>
    <t>Basic Order Abundance and Presence/Absence Tallies, Quantity Counts,</t>
    <phoneticPr fontId="10" type="noConversion"/>
  </si>
  <si>
    <r>
      <t>Abbreviations for the groups compared: PB</t>
    </r>
    <r>
      <rPr>
        <vertAlign val="subscript"/>
        <sz val="10"/>
        <rFont val="Verdana"/>
      </rPr>
      <t>A</t>
    </r>
    <r>
      <rPr>
        <sz val="10"/>
        <rFont val="Verdana"/>
      </rPr>
      <t>+AP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= The group comparing all insects from the Paleoburn and Anvil Points sites; </t>
    </r>
    <phoneticPr fontId="10" type="noConversion"/>
  </si>
  <si>
    <t>Claudia's Place Beetle Area</t>
    <phoneticPr fontId="10" type="noConversion"/>
  </si>
  <si>
    <t>Kishenehn Beetle Area</t>
    <phoneticPr fontId="10" type="noConversion"/>
  </si>
  <si>
    <t>Anvil Points Beetle Area</t>
    <phoneticPr fontId="10" type="noConversion"/>
  </si>
  <si>
    <t>Paleoburn Beetle Area</t>
    <phoneticPr fontId="10" type="noConversion"/>
  </si>
  <si>
    <t>Anvil Points Insect Area</t>
    <phoneticPr fontId="10" type="noConversion"/>
  </si>
  <si>
    <t>Paleoburn Insect Area</t>
    <phoneticPr fontId="10" type="noConversion"/>
  </si>
  <si>
    <t>Stewart Valley Beetle Area</t>
    <phoneticPr fontId="10" type="noConversion"/>
  </si>
  <si>
    <t>Florissant Beetle Area</t>
    <phoneticPr fontId="10" type="noConversion"/>
  </si>
  <si>
    <t>Group A: Kishenehn, Stewart Valley, Florissant</t>
    <phoneticPr fontId="10" type="noConversion"/>
  </si>
  <si>
    <t>Group B: Anvil Points, Claudia's Place</t>
    <phoneticPr fontId="10" type="noConversion"/>
  </si>
  <si>
    <t>D</t>
    <phoneticPr fontId="10" type="noConversion"/>
  </si>
  <si>
    <t>p &gt; D</t>
    <phoneticPr fontId="10" type="noConversion"/>
  </si>
  <si>
    <t>p &lt; W</t>
    <phoneticPr fontId="10" type="noConversion"/>
  </si>
  <si>
    <r>
      <t>PB</t>
    </r>
    <r>
      <rPr>
        <vertAlign val="subscript"/>
        <sz val="10"/>
        <rFont val="Verdana"/>
      </rPr>
      <t>A</t>
    </r>
    <r>
      <rPr>
        <sz val="10"/>
        <rFont val="Verdana"/>
      </rPr>
      <t>+AP</t>
    </r>
    <r>
      <rPr>
        <vertAlign val="subscript"/>
        <sz val="10"/>
        <rFont val="Verdana"/>
      </rPr>
      <t>A</t>
    </r>
    <r>
      <rPr>
        <sz val="10"/>
        <rFont val="Verdana"/>
      </rPr>
      <t xml:space="preserve"> Area</t>
    </r>
    <phoneticPr fontId="10" type="noConversion"/>
  </si>
  <si>
    <t>FA, fully articulated; PA, partially articulated; D, disarticulated.</t>
  </si>
  <si>
    <t>ANOVA F</t>
    <phoneticPr fontId="10" type="noConversion"/>
  </si>
  <si>
    <t>p-value</t>
    <phoneticPr fontId="10" type="noConversion"/>
  </si>
  <si>
    <t>Error df</t>
    <phoneticPr fontId="10" type="noConversion"/>
  </si>
  <si>
    <t>Group df</t>
    <phoneticPr fontId="10" type="noConversion"/>
  </si>
  <si>
    <t>Kruskal-Wallis K</t>
    <phoneticPr fontId="10" type="noConversion"/>
  </si>
  <si>
    <r>
      <t>PB</t>
    </r>
    <r>
      <rPr>
        <vertAlign val="subscript"/>
        <sz val="10"/>
        <rFont val="Verdana"/>
      </rPr>
      <t>B</t>
    </r>
    <r>
      <rPr>
        <sz val="10"/>
        <rFont val="Verdana"/>
      </rPr>
      <t>+AP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Area</t>
    </r>
    <phoneticPr fontId="10" type="noConversion"/>
  </si>
  <si>
    <t>Tukey-Kramer HSD</t>
    <phoneticPr fontId="10" type="noConversion"/>
  </si>
  <si>
    <r>
      <t>AP</t>
    </r>
    <r>
      <rPr>
        <vertAlign val="subscript"/>
        <sz val="10"/>
        <rFont val="Verdana"/>
      </rPr>
      <t>B</t>
    </r>
    <r>
      <rPr>
        <sz val="10"/>
        <rFont val="Verdana"/>
      </rPr>
      <t>+CC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Area</t>
    </r>
    <phoneticPr fontId="10" type="noConversion"/>
  </si>
  <si>
    <t>Kolmogorov-Smirnov of log normal distribution</t>
    <phoneticPr fontId="10" type="noConversion"/>
  </si>
  <si>
    <t>Shapiro-Wilk's Normalcy Test</t>
    <phoneticPr fontId="10" type="noConversion"/>
  </si>
  <si>
    <t>SD</t>
    <phoneticPr fontId="10" type="noConversion"/>
  </si>
  <si>
    <t xml:space="preserve">N.B. In the study, Leg Quality Scores of 3 &amp; 4 were categorized as 3; Thorax Quality Scores of 3 &amp; 4 were categorized as 3  </t>
    <phoneticPr fontId="10" type="noConversion"/>
  </si>
  <si>
    <t>Raw Data on the Claudia's Place Locality</t>
    <phoneticPr fontId="10" type="noConversion"/>
  </si>
  <si>
    <t>Raw Data on the Stewart Valley Locality</t>
    <phoneticPr fontId="10" type="noConversion"/>
  </si>
  <si>
    <t>Raw Data on the Kishenehn Formation</t>
    <phoneticPr fontId="10" type="noConversion"/>
  </si>
  <si>
    <t>Raw Data on the Florissant Formation</t>
    <phoneticPr fontId="10" type="noConversion"/>
  </si>
  <si>
    <t>N/A</t>
  </si>
  <si>
    <t>N/A</t>
    <phoneticPr fontId="10" type="noConversion"/>
  </si>
  <si>
    <t>A “+” indicates that the two bodily components listed are articulated, while a “,” indicates that they are proximal to one another,</t>
    <phoneticPr fontId="10" type="noConversion"/>
  </si>
  <si>
    <t>All Insect Chi Square: 47.879</t>
    <phoneticPr fontId="10" type="noConversion"/>
  </si>
  <si>
    <t>p-value: &lt;.0001</t>
    <phoneticPr fontId="10" type="noConversion"/>
  </si>
  <si>
    <t>p-value: 0.4818</t>
    <phoneticPr fontId="10" type="noConversion"/>
  </si>
  <si>
    <t>Preservation Pathway Beetle Chi Square: 23.518</t>
    <phoneticPr fontId="10" type="noConversion"/>
  </si>
  <si>
    <t>Carbonaceous Compression Beetle Fisher Exact Test P: 0.000001068</t>
    <phoneticPr fontId="10" type="noConversion"/>
  </si>
  <si>
    <t>Articulation Categories and the individual Articulation States that bin into them, as well as the results of statistical tests comparing</t>
    <phoneticPr fontId="10" type="noConversion"/>
  </si>
  <si>
    <t>"Pairwise Sufficient" means that the Expected Proportion at the Paleoburn</t>
    <phoneticPr fontId="10" type="noConversion"/>
  </si>
  <si>
    <t>proportions were still too small, then a Fisher's Exact Test was used.</t>
    <phoneticPr fontId="10" type="noConversion"/>
  </si>
  <si>
    <t>Categories</t>
    <phoneticPr fontId="10" type="noConversion"/>
  </si>
  <si>
    <t>Paleoburn</t>
    <phoneticPr fontId="10" type="noConversion"/>
  </si>
  <si>
    <t>Anvil Points</t>
    <phoneticPr fontId="10" type="noConversion"/>
  </si>
  <si>
    <t>Kishenehn</t>
    <phoneticPr fontId="10" type="noConversion"/>
  </si>
  <si>
    <t>Claudia's Place</t>
    <phoneticPr fontId="10" type="noConversion"/>
  </si>
  <si>
    <t>Stewart Valley</t>
    <phoneticPr fontId="10" type="noConversion"/>
  </si>
  <si>
    <t>Florissant</t>
    <phoneticPr fontId="10" type="noConversion"/>
  </si>
  <si>
    <t>All Insects</t>
    <phoneticPr fontId="10" type="noConversion"/>
  </si>
  <si>
    <t>Beetles</t>
    <phoneticPr fontId="10" type="noConversion"/>
  </si>
  <si>
    <t>Full Articulation</t>
    <phoneticPr fontId="10" type="noConversion"/>
  </si>
  <si>
    <t>Partial Articulation</t>
    <phoneticPr fontId="10" type="noConversion"/>
  </si>
  <si>
    <t>H+P, T+A</t>
    <phoneticPr fontId="10" type="noConversion"/>
  </si>
  <si>
    <t>H+T, T+A</t>
    <phoneticPr fontId="10" type="noConversion"/>
  </si>
  <si>
    <t>H+T, W</t>
    <phoneticPr fontId="10" type="noConversion"/>
  </si>
  <si>
    <t>T+W(+L)</t>
    <phoneticPr fontId="10" type="noConversion"/>
  </si>
  <si>
    <t>W, T+A</t>
    <phoneticPr fontId="10" type="noConversion"/>
  </si>
  <si>
    <t>Disarticulation</t>
    <phoneticPr fontId="10" type="noConversion"/>
  </si>
  <si>
    <t>H(,L)</t>
    <phoneticPr fontId="10" type="noConversion"/>
  </si>
  <si>
    <t>A(,L)</t>
    <phoneticPr fontId="10" type="noConversion"/>
  </si>
  <si>
    <t>Ant</t>
    <phoneticPr fontId="10" type="noConversion"/>
  </si>
  <si>
    <t>E, A</t>
    <phoneticPr fontId="10" type="noConversion"/>
  </si>
  <si>
    <t>E, T, A</t>
    <phoneticPr fontId="10" type="noConversion"/>
  </si>
  <si>
    <t>T, A</t>
    <phoneticPr fontId="10" type="noConversion"/>
  </si>
  <si>
    <t>A, W</t>
    <phoneticPr fontId="10" type="noConversion"/>
  </si>
  <si>
    <t>&lt;.0001</t>
    <phoneticPr fontId="10" type="noConversion"/>
  </si>
  <si>
    <t>Pairwise Insufficient</t>
  </si>
  <si>
    <t>Articulation State</t>
  </si>
  <si>
    <t>All Pairwise Sufficient!</t>
  </si>
  <si>
    <t>Present</t>
  </si>
  <si>
    <t>Absent</t>
  </si>
  <si>
    <t>Total</t>
  </si>
  <si>
    <t>Pairwise Sufficient</t>
  </si>
  <si>
    <t>&lt;.0001</t>
  </si>
  <si>
    <t>chi-squared</t>
    <phoneticPr fontId="10" type="noConversion"/>
  </si>
  <si>
    <t>Antenna Number</t>
    <phoneticPr fontId="10" type="noConversion"/>
  </si>
  <si>
    <t>1(Present)</t>
    <phoneticPr fontId="10" type="noConversion"/>
  </si>
  <si>
    <t>2(Segments)</t>
    <phoneticPr fontId="10" type="noConversion"/>
  </si>
  <si>
    <t>Total</t>
    <phoneticPr fontId="10" type="noConversion"/>
  </si>
  <si>
    <t>2(Facets)</t>
    <phoneticPr fontId="10" type="noConversion"/>
  </si>
  <si>
    <t>site, using the proportional abundance at the Anvil Points as a basis for the</t>
    <phoneticPr fontId="10" type="noConversion"/>
  </si>
  <si>
    <t>Matrix Too Large</t>
    <phoneticPr fontId="10" type="noConversion"/>
  </si>
  <si>
    <t>This was used instead -&gt;</t>
    <phoneticPr fontId="10" type="noConversion"/>
  </si>
  <si>
    <t>two sided p</t>
    <phoneticPr fontId="10" type="noConversion"/>
  </si>
  <si>
    <t>One-two</t>
  </si>
  <si>
    <t>Three-four</t>
  </si>
  <si>
    <t>&lt;-according to www.physics.csbsju.edu</t>
  </si>
  <si>
    <t>Five-six</t>
  </si>
  <si>
    <t>Articulation</t>
    <phoneticPr fontId="10" type="noConversion"/>
  </si>
  <si>
    <t>Articulation:</t>
    <phoneticPr fontId="10" type="noConversion"/>
  </si>
  <si>
    <t>two sided p</t>
    <phoneticPr fontId="10" type="noConversion"/>
  </si>
  <si>
    <t>0(None)-Absent</t>
    <phoneticPr fontId="10" type="noConversion"/>
  </si>
  <si>
    <t>1(Present)</t>
    <phoneticPr fontId="10" type="noConversion"/>
  </si>
  <si>
    <t>Total</t>
    <phoneticPr fontId="10" type="noConversion"/>
  </si>
  <si>
    <t>Present (for Articulation)</t>
    <phoneticPr fontId="10" type="noConversion"/>
  </si>
  <si>
    <t>Present (for Articulation)</t>
    <phoneticPr fontId="10" type="noConversion"/>
  </si>
  <si>
    <t>0(None)-Absent</t>
    <phoneticPr fontId="10" type="noConversion"/>
  </si>
  <si>
    <t>Anvil Points Actual</t>
    <phoneticPr fontId="10" type="noConversion"/>
  </si>
  <si>
    <t>Anvil Points Proportion</t>
    <phoneticPr fontId="10" type="noConversion"/>
  </si>
  <si>
    <t>Pearson Chi Squared</t>
  </si>
  <si>
    <t>Fisher Exact Test Table P</t>
  </si>
  <si>
    <t>Kishenehn Actual</t>
  </si>
  <si>
    <t>Kishenehn Proportion</t>
  </si>
  <si>
    <t>Claudia's Place Actual</t>
  </si>
  <si>
    <t>Claudia's Place Proportion</t>
  </si>
  <si>
    <t>Stewart Valley Actual</t>
  </si>
  <si>
    <t>Stewart Valley Proportion</t>
  </si>
  <si>
    <t>Florissant Actual</t>
  </si>
  <si>
    <t>Florissant Proportion</t>
  </si>
  <si>
    <t>Anvil Points</t>
  </si>
  <si>
    <t>Kishenehn</t>
  </si>
  <si>
    <t>Claudia's Place</t>
  </si>
  <si>
    <t>Stewart Valley</t>
  </si>
  <si>
    <t>Florissant</t>
  </si>
  <si>
    <t>Fisher Exact Test P</t>
  </si>
  <si>
    <t>Quantity:</t>
  </si>
  <si>
    <t>UCM80628</t>
    <phoneticPr fontId="10" type="noConversion"/>
  </si>
  <si>
    <t>Staphylinidae</t>
    <phoneticPr fontId="10" type="noConversion"/>
  </si>
  <si>
    <t>M-908</t>
    <phoneticPr fontId="10" type="noConversion"/>
  </si>
  <si>
    <t>DV</t>
    <phoneticPr fontId="10" type="noConversion"/>
  </si>
  <si>
    <t>H+T+A</t>
    <phoneticPr fontId="10" type="noConversion"/>
  </si>
  <si>
    <t>CP090817-2a+b</t>
    <phoneticPr fontId="10" type="noConversion"/>
  </si>
  <si>
    <t>Staphylinidae(?)</t>
    <phoneticPr fontId="10" type="noConversion"/>
  </si>
  <si>
    <t>O</t>
    <phoneticPr fontId="10" type="noConversion"/>
  </si>
  <si>
    <t>H+T+A</t>
    <phoneticPr fontId="10" type="noConversion"/>
  </si>
  <si>
    <t>M-909 &amp; M-910</t>
    <phoneticPr fontId="10" type="noConversion"/>
  </si>
  <si>
    <t>UCM80621</t>
    <phoneticPr fontId="10" type="noConversion"/>
  </si>
  <si>
    <t>Coleoptera</t>
    <phoneticPr fontId="10" type="noConversion"/>
  </si>
  <si>
    <t>M-911</t>
    <phoneticPr fontId="10" type="noConversion"/>
  </si>
  <si>
    <t>Cecidomyiidae</t>
    <phoneticPr fontId="10" type="noConversion"/>
  </si>
  <si>
    <t>The length is hard to measure, although the width is clear</t>
    <phoneticPr fontId="10" type="noConversion"/>
  </si>
  <si>
    <t>&lt;.0001</t>
    <phoneticPr fontId="10" type="noConversion"/>
  </si>
  <si>
    <t>Fisher Exact Test P</t>
    <phoneticPr fontId="10" type="noConversion"/>
  </si>
  <si>
    <t>two sided p</t>
    <phoneticPr fontId="10" type="noConversion"/>
  </si>
  <si>
    <t>1(Present)</t>
    <phoneticPr fontId="10" type="noConversion"/>
  </si>
  <si>
    <t>2(Segments)</t>
    <phoneticPr fontId="10" type="noConversion"/>
  </si>
  <si>
    <t>3(Details)</t>
    <phoneticPr fontId="10" type="noConversion"/>
  </si>
  <si>
    <t>Sclerites</t>
  </si>
  <si>
    <t>Details</t>
  </si>
  <si>
    <t>Pairwise Sufficient</t>
    <phoneticPr fontId="10" type="noConversion"/>
  </si>
  <si>
    <t>Total</t>
    <phoneticPr fontId="10" type="noConversion"/>
  </si>
  <si>
    <t>Total</t>
    <phoneticPr fontId="10" type="noConversion"/>
  </si>
  <si>
    <t>2(Sclerites)</t>
    <phoneticPr fontId="10" type="noConversion"/>
  </si>
  <si>
    <t>Fisher Exact Test P</t>
    <phoneticPr fontId="10" type="noConversion"/>
  </si>
  <si>
    <t>Beetles</t>
    <phoneticPr fontId="10" type="noConversion"/>
  </si>
  <si>
    <t>Leg Number</t>
    <phoneticPr fontId="10" type="noConversion"/>
  </si>
  <si>
    <t>Antenna Number</t>
    <phoneticPr fontId="10" type="noConversion"/>
  </si>
  <si>
    <t>Order Used</t>
    <phoneticPr fontId="10" type="noConversion"/>
  </si>
  <si>
    <t>Order Used</t>
    <phoneticPr fontId="10" type="noConversion"/>
  </si>
  <si>
    <t>Hemiptera</t>
    <phoneticPr fontId="10" type="noConversion"/>
  </si>
  <si>
    <t>Orthoptera</t>
    <phoneticPr fontId="10" type="noConversion"/>
  </si>
  <si>
    <t>Coleoptera</t>
    <phoneticPr fontId="10" type="noConversion"/>
  </si>
  <si>
    <t>Araneae</t>
    <phoneticPr fontId="10" type="noConversion"/>
  </si>
  <si>
    <t>Diptera</t>
    <phoneticPr fontId="10" type="noConversion"/>
  </si>
  <si>
    <t>Blattodea</t>
    <phoneticPr fontId="10" type="noConversion"/>
  </si>
  <si>
    <t>Hymenoptera</t>
    <phoneticPr fontId="10" type="noConversion"/>
  </si>
  <si>
    <t>Coleoptera</t>
    <phoneticPr fontId="10" type="noConversion"/>
  </si>
  <si>
    <t>Diptera</t>
    <phoneticPr fontId="10" type="noConversion"/>
  </si>
  <si>
    <t>Hemiptera</t>
    <phoneticPr fontId="10" type="noConversion"/>
  </si>
  <si>
    <t>Lepidoptera</t>
    <phoneticPr fontId="10" type="noConversion"/>
  </si>
  <si>
    <t>Thysanoptera</t>
    <phoneticPr fontId="10" type="noConversion"/>
  </si>
  <si>
    <t>Trichoptera</t>
    <phoneticPr fontId="10" type="noConversion"/>
  </si>
  <si>
    <t>Coleoptera</t>
    <phoneticPr fontId="10" type="noConversion"/>
  </si>
  <si>
    <t>Raw Data on the Paleoburn Locality</t>
    <phoneticPr fontId="10" type="noConversion"/>
  </si>
  <si>
    <t>1(Present)</t>
    <phoneticPr fontId="10" type="noConversion"/>
  </si>
  <si>
    <t>0(None)</t>
  </si>
  <si>
    <t>p-value</t>
  </si>
  <si>
    <t>Leg Number</t>
  </si>
  <si>
    <t>Zero</t>
  </si>
  <si>
    <t>One</t>
  </si>
  <si>
    <t>Two</t>
  </si>
  <si>
    <t>Three</t>
  </si>
  <si>
    <t>Four</t>
  </si>
  <si>
    <t>Five</t>
  </si>
  <si>
    <t>Six</t>
  </si>
  <si>
    <t>2(Segments)</t>
  </si>
  <si>
    <t>Antenna Number</t>
  </si>
  <si>
    <t>1(Present)</t>
  </si>
  <si>
    <t>2(Facets)</t>
  </si>
  <si>
    <t>2(Mouthparts)</t>
  </si>
  <si>
    <t>2(Segmented)</t>
  </si>
  <si>
    <t>3(Hairs)</t>
  </si>
  <si>
    <t>Measurements based on M-955; length goes over a rock break and could be a little longer</t>
    <phoneticPr fontId="10" type="noConversion"/>
  </si>
  <si>
    <t>Measurements based on M-959; dimensions difficult to do</t>
    <phoneticPr fontId="10" type="noConversion"/>
  </si>
  <si>
    <t>Measurements based on M-995; anterior portion of head a bit tough to see</t>
    <phoneticPr fontId="10" type="noConversion"/>
  </si>
  <si>
    <t>Measurements based on M-999</t>
    <phoneticPr fontId="10" type="noConversion"/>
  </si>
  <si>
    <t>Measurements based on M-899, although dimensions on both hard to do</t>
    <phoneticPr fontId="10" type="noConversion"/>
  </si>
  <si>
    <t>3-9-#1</t>
    <phoneticPr fontId="10" type="noConversion"/>
  </si>
  <si>
    <t>2(Mouthparts)</t>
    <phoneticPr fontId="10" type="noConversion"/>
  </si>
  <si>
    <t>2(Segmented)</t>
    <phoneticPr fontId="10" type="noConversion"/>
  </si>
  <si>
    <t>3(Hairs)</t>
    <phoneticPr fontId="10" type="noConversion"/>
  </si>
  <si>
    <t>Paleoburn Actual</t>
  </si>
  <si>
    <t>Paleoburn Expected</t>
  </si>
  <si>
    <t>Anvil Points Actual</t>
  </si>
  <si>
    <t>Paleoburn Proportion</t>
  </si>
  <si>
    <t>Anvil Points Proportion</t>
  </si>
  <si>
    <t>Anvil Points Actual</t>
    <phoneticPr fontId="10" type="noConversion"/>
  </si>
  <si>
    <t>Paleoburn Proportion</t>
    <phoneticPr fontId="10" type="noConversion"/>
  </si>
  <si>
    <t>Anvil Points Proportion</t>
    <phoneticPr fontId="10" type="noConversion"/>
  </si>
  <si>
    <t>Anvil Points (no Arachnida) n= 466</t>
    <phoneticPr fontId="10" type="noConversion"/>
  </si>
  <si>
    <t>Anvil Points by Order</t>
    <phoneticPr fontId="10" type="noConversion"/>
  </si>
  <si>
    <t>Diptera</t>
    <phoneticPr fontId="10" type="noConversion"/>
  </si>
  <si>
    <t>Hemiptera</t>
    <phoneticPr fontId="10" type="noConversion"/>
  </si>
  <si>
    <t>Hymenoptera</t>
    <phoneticPr fontId="10" type="noConversion"/>
  </si>
  <si>
    <t>Orthoptera</t>
    <phoneticPr fontId="10" type="noConversion"/>
  </si>
  <si>
    <t>Blattodea</t>
    <phoneticPr fontId="10" type="noConversion"/>
  </si>
  <si>
    <t>Thysanoptera</t>
    <phoneticPr fontId="10" type="noConversion"/>
  </si>
  <si>
    <t>Trichoptera</t>
    <phoneticPr fontId="10" type="noConversion"/>
  </si>
  <si>
    <t>Lepidoptera</t>
    <phoneticPr fontId="10" type="noConversion"/>
  </si>
  <si>
    <t>Araneae</t>
    <phoneticPr fontId="10" type="noConversion"/>
  </si>
  <si>
    <t>Total</t>
    <phoneticPr fontId="10" type="noConversion"/>
  </si>
  <si>
    <t>Paleoburn by Order</t>
    <phoneticPr fontId="10" type="noConversion"/>
  </si>
  <si>
    <t>Trichoptera</t>
    <phoneticPr fontId="10" type="noConversion"/>
  </si>
  <si>
    <t>Lepidoptera</t>
    <phoneticPr fontId="10" type="noConversion"/>
  </si>
  <si>
    <t>Total</t>
    <phoneticPr fontId="10" type="noConversion"/>
  </si>
  <si>
    <t>Excluded</t>
  </si>
  <si>
    <t>Insects (no Spiders) Basic Stats</t>
    <phoneticPr fontId="10" type="noConversion"/>
  </si>
  <si>
    <t>p-value</t>
    <phoneticPr fontId="10" type="noConversion"/>
  </si>
  <si>
    <t>chi-squared</t>
    <phoneticPr fontId="10" type="noConversion"/>
  </si>
  <si>
    <t>Leg Number</t>
    <phoneticPr fontId="10" type="noConversion"/>
  </si>
  <si>
    <t>One</t>
    <phoneticPr fontId="10" type="noConversion"/>
  </si>
  <si>
    <t>Two</t>
    <phoneticPr fontId="10" type="noConversion"/>
  </si>
  <si>
    <t>Three</t>
    <phoneticPr fontId="10" type="noConversion"/>
  </si>
  <si>
    <t>Four</t>
    <phoneticPr fontId="10" type="noConversion"/>
  </si>
  <si>
    <t>Five</t>
    <phoneticPr fontId="10" type="noConversion"/>
  </si>
  <si>
    <t>Six</t>
    <phoneticPr fontId="10" type="noConversion"/>
  </si>
  <si>
    <t>p-value</t>
    <phoneticPr fontId="10" type="noConversion"/>
  </si>
  <si>
    <t>Measurements based on M-932, although even this was extremely faint</t>
    <phoneticPr fontId="10" type="noConversion"/>
  </si>
  <si>
    <t>Measurements based on M-941; width is greater, but abdomen edge covered by wing</t>
    <phoneticPr fontId="10" type="noConversion"/>
  </si>
  <si>
    <t>Measurements based on M-949; actual width slightly greater, covered by elytra</t>
    <phoneticPr fontId="10" type="noConversion"/>
  </si>
  <si>
    <t>Measurements based on M-954</t>
    <phoneticPr fontId="10" type="noConversion"/>
  </si>
  <si>
    <t>4-14-#1</t>
    <phoneticPr fontId="10" type="noConversion"/>
  </si>
  <si>
    <t>M-892</t>
    <phoneticPr fontId="10" type="noConversion"/>
  </si>
  <si>
    <t>O</t>
    <phoneticPr fontId="10" type="noConversion"/>
  </si>
  <si>
    <t>M-901</t>
    <phoneticPr fontId="10" type="noConversion"/>
  </si>
  <si>
    <t>M-902</t>
    <phoneticPr fontId="10" type="noConversion"/>
  </si>
  <si>
    <t>M-903 &amp; M-904</t>
    <phoneticPr fontId="10" type="noConversion"/>
  </si>
  <si>
    <t>M-905</t>
    <phoneticPr fontId="10" type="noConversion"/>
  </si>
  <si>
    <t>M-906 &amp; M-907</t>
    <phoneticPr fontId="10" type="noConversion"/>
  </si>
  <si>
    <t>Curculionidae</t>
    <phoneticPr fontId="10" type="noConversion"/>
  </si>
  <si>
    <t>M-1006</t>
    <phoneticPr fontId="10" type="noConversion"/>
  </si>
  <si>
    <t>4-15-#1</t>
    <phoneticPr fontId="10" type="noConversion"/>
  </si>
  <si>
    <t>M-870</t>
    <phoneticPr fontId="10" type="noConversion"/>
  </si>
  <si>
    <t>Coleoptera</t>
    <phoneticPr fontId="10" type="noConversion"/>
  </si>
  <si>
    <t>3-15-#1</t>
    <phoneticPr fontId="10" type="noConversion"/>
  </si>
  <si>
    <t>t-1-4-#1</t>
    <phoneticPr fontId="10" type="noConversion"/>
  </si>
  <si>
    <t>3-23-#2</t>
    <phoneticPr fontId="10" type="noConversion"/>
  </si>
  <si>
    <t>4-6-#1</t>
    <phoneticPr fontId="10" type="noConversion"/>
  </si>
  <si>
    <t>3-24-#1</t>
    <phoneticPr fontId="10" type="noConversion"/>
  </si>
  <si>
    <t>4-5-#2</t>
    <phoneticPr fontId="10" type="noConversion"/>
  </si>
  <si>
    <t>Width based on the more easily resolveable pronotum, elytra conceals abdomen width</t>
    <phoneticPr fontId="10" type="noConversion"/>
  </si>
  <si>
    <t>Empididae</t>
    <phoneticPr fontId="10" type="noConversion"/>
  </si>
  <si>
    <t>Empididae(?)</t>
    <phoneticPr fontId="10" type="noConversion"/>
  </si>
  <si>
    <t>Dolichopodidae</t>
    <phoneticPr fontId="10" type="noConversion"/>
  </si>
  <si>
    <t>Measurements based on M-1009</t>
    <phoneticPr fontId="10" type="noConversion"/>
  </si>
  <si>
    <t>Length measured across a small, likely contiguous break in the rock</t>
    <phoneticPr fontId="10" type="noConversion"/>
  </si>
  <si>
    <t>Measurements based on M-903</t>
    <phoneticPr fontId="10" type="noConversion"/>
  </si>
  <si>
    <t>Paleoburn n=225</t>
    <phoneticPr fontId="10" type="noConversion"/>
  </si>
  <si>
    <t>Kishenehn Beetles n= 30</t>
    <phoneticPr fontId="10" type="noConversion"/>
  </si>
  <si>
    <t>Stewart Valley Beetles n=22</t>
    <phoneticPr fontId="10" type="noConversion"/>
  </si>
  <si>
    <t>Paleoburn (no Arachnida) n=224</t>
    <phoneticPr fontId="10" type="noConversion"/>
  </si>
  <si>
    <t>Anvil Points n=477</t>
    <phoneticPr fontId="10" type="noConversion"/>
  </si>
  <si>
    <t>Claudia's Place Beetles n=30</t>
    <phoneticPr fontId="10" type="noConversion"/>
  </si>
  <si>
    <t>Florissant Beetles =30</t>
    <phoneticPr fontId="10" type="noConversion"/>
  </si>
  <si>
    <t>Measured in terms of the staining that likely defines the actual body</t>
    <phoneticPr fontId="10" type="noConversion"/>
  </si>
  <si>
    <t>Measurements based on M-964</t>
    <phoneticPr fontId="10" type="noConversion"/>
  </si>
  <si>
    <t>Measurements based on M-978; abdomen edges fairly distinct beneath elytra</t>
    <phoneticPr fontId="10" type="noConversion"/>
  </si>
  <si>
    <t>At no point is the width well preserved</t>
    <phoneticPr fontId="10" type="noConversion"/>
  </si>
  <si>
    <t>Difficult to pick what to measure on this mangled specimen</t>
    <phoneticPr fontId="10" type="noConversion"/>
  </si>
  <si>
    <t>Width measured across the pronotum</t>
    <phoneticPr fontId="10" type="noConversion"/>
  </si>
  <si>
    <t>Width is decidedly a best guess</t>
    <phoneticPr fontId="10" type="noConversion"/>
  </si>
  <si>
    <t>Width measured near the base of the elytra; not many other places to measure</t>
    <phoneticPr fontId="10" type="noConversion"/>
  </si>
  <si>
    <t>Even with enhanced contrast, very hard to make out boundaries</t>
    <phoneticPr fontId="10" type="noConversion"/>
  </si>
  <si>
    <t>M-896</t>
    <phoneticPr fontId="10" type="noConversion"/>
  </si>
  <si>
    <t>M-897</t>
    <phoneticPr fontId="10" type="noConversion"/>
  </si>
  <si>
    <t>CP090812-5</t>
    <phoneticPr fontId="10" type="noConversion"/>
  </si>
  <si>
    <t>M-898 &amp; M-899</t>
    <phoneticPr fontId="10" type="noConversion"/>
  </si>
  <si>
    <t>O</t>
    <phoneticPr fontId="10" type="noConversion"/>
  </si>
  <si>
    <t>CP090812-6</t>
    <phoneticPr fontId="10" type="noConversion"/>
  </si>
  <si>
    <t>Coleoptera(?)</t>
    <phoneticPr fontId="10" type="noConversion"/>
  </si>
  <si>
    <t>M-900</t>
    <phoneticPr fontId="10" type="noConversion"/>
  </si>
  <si>
    <t>UCM80668</t>
    <phoneticPr fontId="10" type="noConversion"/>
  </si>
  <si>
    <t>Coleoptera</t>
    <phoneticPr fontId="10" type="noConversion"/>
  </si>
  <si>
    <t>H+T</t>
    <phoneticPr fontId="10" type="noConversion"/>
  </si>
  <si>
    <t>Mycetophilidae</t>
    <phoneticPr fontId="10" type="noConversion"/>
  </si>
  <si>
    <t>It is a fly, a mycetophilid</t>
    <phoneticPr fontId="10" type="noConversion"/>
  </si>
  <si>
    <t>UCM80645</t>
    <phoneticPr fontId="10" type="noConversion"/>
  </si>
  <si>
    <t>M-912</t>
    <phoneticPr fontId="10" type="noConversion"/>
  </si>
  <si>
    <t>M-913</t>
    <phoneticPr fontId="10" type="noConversion"/>
  </si>
  <si>
    <t>M-914</t>
    <phoneticPr fontId="10" type="noConversion"/>
  </si>
  <si>
    <t>Measurements based on M-940; terminus hard to see</t>
    <phoneticPr fontId="10" type="noConversion"/>
  </si>
  <si>
    <t>Measurements based on M-943</t>
    <phoneticPr fontId="10" type="noConversion"/>
  </si>
  <si>
    <t>M-800</t>
    <phoneticPr fontId="10" type="noConversion"/>
  </si>
  <si>
    <t>UCM78059</t>
    <phoneticPr fontId="10" type="noConversion"/>
  </si>
  <si>
    <t>UCM78055</t>
    <phoneticPr fontId="10" type="noConversion"/>
  </si>
  <si>
    <t>UCM78056</t>
    <phoneticPr fontId="10" type="noConversion"/>
  </si>
  <si>
    <t>UCM78057</t>
    <phoneticPr fontId="10" type="noConversion"/>
  </si>
  <si>
    <t>M-791</t>
    <phoneticPr fontId="10" type="noConversion"/>
  </si>
  <si>
    <t>M-792</t>
    <phoneticPr fontId="10" type="noConversion"/>
  </si>
  <si>
    <t>M-793</t>
    <phoneticPr fontId="10" type="noConversion"/>
  </si>
  <si>
    <t>M-794</t>
    <phoneticPr fontId="10" type="noConversion"/>
  </si>
  <si>
    <t>M-795</t>
    <phoneticPr fontId="10" type="noConversion"/>
  </si>
  <si>
    <t>M-774</t>
    <phoneticPr fontId="10" type="noConversion"/>
  </si>
  <si>
    <t>UCM78038</t>
    <phoneticPr fontId="10" type="noConversion"/>
  </si>
  <si>
    <t>Fulgoroidea</t>
    <phoneticPr fontId="10" type="noConversion"/>
  </si>
  <si>
    <t>M-775</t>
    <phoneticPr fontId="10" type="noConversion"/>
  </si>
  <si>
    <t>APKQB16</t>
    <phoneticPr fontId="10" type="noConversion"/>
  </si>
  <si>
    <t>M-764</t>
    <phoneticPr fontId="10" type="noConversion"/>
  </si>
  <si>
    <t>APKQB17</t>
    <phoneticPr fontId="10" type="noConversion"/>
  </si>
  <si>
    <t>Sternorrhyncha</t>
    <phoneticPr fontId="10" type="noConversion"/>
  </si>
  <si>
    <t>M-765</t>
    <phoneticPr fontId="10" type="noConversion"/>
  </si>
  <si>
    <t>M-882</t>
    <phoneticPr fontId="10" type="noConversion"/>
  </si>
  <si>
    <t>CP-090817-5</t>
    <phoneticPr fontId="10" type="noConversion"/>
  </si>
  <si>
    <t>T</t>
    <phoneticPr fontId="10" type="noConversion"/>
  </si>
  <si>
    <t>Coleoptera</t>
    <phoneticPr fontId="10" type="noConversion"/>
  </si>
  <si>
    <t>10-3-#1</t>
    <phoneticPr fontId="10" type="noConversion"/>
  </si>
  <si>
    <t>Curculionidae</t>
    <phoneticPr fontId="10" type="noConversion"/>
  </si>
  <si>
    <t>M-884</t>
    <phoneticPr fontId="10" type="noConversion"/>
  </si>
  <si>
    <t>3-8-#1</t>
    <phoneticPr fontId="10" type="noConversion"/>
  </si>
  <si>
    <t>Coleoptera(?)</t>
    <phoneticPr fontId="10" type="noConversion"/>
  </si>
  <si>
    <t>M-915</t>
    <phoneticPr fontId="10" type="noConversion"/>
  </si>
  <si>
    <t>M-916</t>
    <phoneticPr fontId="10" type="noConversion"/>
  </si>
  <si>
    <t>M-917</t>
    <phoneticPr fontId="10" type="noConversion"/>
  </si>
  <si>
    <t>M-918</t>
    <phoneticPr fontId="10" type="noConversion"/>
  </si>
  <si>
    <t>M-919</t>
    <phoneticPr fontId="10" type="noConversion"/>
  </si>
  <si>
    <t xml:space="preserve">M-920 </t>
    <phoneticPr fontId="10" type="noConversion"/>
  </si>
  <si>
    <t>M-921</t>
    <phoneticPr fontId="10" type="noConversion"/>
  </si>
  <si>
    <t>Length goes over a couple of small gaps near the head</t>
    <phoneticPr fontId="10" type="noConversion"/>
  </si>
  <si>
    <t>Even with enhanced contrast, preservation is pretty patchy, width in particular a best guess</t>
    <phoneticPr fontId="10" type="noConversion"/>
  </si>
  <si>
    <t>4-47-#1</t>
    <phoneticPr fontId="10" type="noConversion"/>
  </si>
  <si>
    <t>I-5-#1</t>
    <phoneticPr fontId="10" type="noConversion"/>
  </si>
  <si>
    <t>Chrysomelidae(?)</t>
    <phoneticPr fontId="10" type="noConversion"/>
  </si>
  <si>
    <t>M-891</t>
    <phoneticPr fontId="10" type="noConversion"/>
  </si>
  <si>
    <t>10-5-#10</t>
    <phoneticPr fontId="10" type="noConversion"/>
  </si>
  <si>
    <t>CP090812-3</t>
    <phoneticPr fontId="10" type="noConversion"/>
  </si>
  <si>
    <t>T</t>
    <phoneticPr fontId="10" type="noConversion"/>
  </si>
  <si>
    <t>CP090812-4</t>
    <phoneticPr fontId="10" type="noConversion"/>
  </si>
  <si>
    <t>M-895</t>
    <phoneticPr fontId="10" type="noConversion"/>
  </si>
  <si>
    <t>Measurements based on M-879</t>
    <phoneticPr fontId="10" type="noConversion"/>
  </si>
  <si>
    <t>3-13-#1</t>
    <phoneticPr fontId="10" type="noConversion"/>
  </si>
  <si>
    <t>M-868</t>
    <phoneticPr fontId="10" type="noConversion"/>
  </si>
  <si>
    <t>O(?)</t>
    <phoneticPr fontId="10" type="noConversion"/>
  </si>
  <si>
    <t>M-869</t>
    <phoneticPr fontId="10" type="noConversion"/>
  </si>
  <si>
    <t>Abdominal segments possibly visible...</t>
    <phoneticPr fontId="10" type="noConversion"/>
  </si>
  <si>
    <t>M-1007</t>
    <phoneticPr fontId="10" type="noConversion"/>
  </si>
  <si>
    <t>Measurements based on M-909; length hard to measure since some portions are very faint</t>
    <phoneticPr fontId="10" type="noConversion"/>
  </si>
  <si>
    <t>Borders diffuse and very difficult to measure</t>
    <phoneticPr fontId="10" type="noConversion"/>
  </si>
  <si>
    <t>Measured the head and pronotal area</t>
    <phoneticPr fontId="10" type="noConversion"/>
  </si>
  <si>
    <t>CP090812-1</t>
    <phoneticPr fontId="10" type="noConversion"/>
  </si>
  <si>
    <t>Coleoptera</t>
    <phoneticPr fontId="10" type="noConversion"/>
  </si>
  <si>
    <t>M-894</t>
    <phoneticPr fontId="10" type="noConversion"/>
  </si>
  <si>
    <t>DV</t>
    <phoneticPr fontId="10" type="noConversion"/>
  </si>
  <si>
    <t>H+T+A</t>
    <phoneticPr fontId="10" type="noConversion"/>
  </si>
  <si>
    <t>CP090812-2</t>
    <phoneticPr fontId="10" type="noConversion"/>
  </si>
  <si>
    <t>Coleoptera</t>
    <phoneticPr fontId="10" type="noConversion"/>
  </si>
  <si>
    <t>3-14-#1(a) &amp; 3-12-#1(b)</t>
    <phoneticPr fontId="10" type="noConversion"/>
  </si>
  <si>
    <t>U-4-#1</t>
    <phoneticPr fontId="10" type="noConversion"/>
  </si>
  <si>
    <t>O</t>
    <phoneticPr fontId="10" type="noConversion"/>
  </si>
  <si>
    <t>M-876</t>
    <phoneticPr fontId="10" type="noConversion"/>
  </si>
  <si>
    <t>M-877 &amp; M-878</t>
    <phoneticPr fontId="10" type="noConversion"/>
  </si>
  <si>
    <t>M-871 &amp; M-879</t>
    <phoneticPr fontId="10" type="noConversion"/>
  </si>
  <si>
    <t>4-12-#1</t>
    <phoneticPr fontId="10" type="noConversion"/>
  </si>
  <si>
    <t>Elateridae(?)</t>
    <phoneticPr fontId="10" type="noConversion"/>
  </si>
  <si>
    <t>M-880</t>
    <phoneticPr fontId="10" type="noConversion"/>
  </si>
  <si>
    <t>T</t>
    <phoneticPr fontId="10" type="noConversion"/>
  </si>
  <si>
    <t>Elytron was used in length since the abdomen was poorly discernable</t>
    <phoneticPr fontId="10" type="noConversion"/>
  </si>
  <si>
    <t>Sciaroidea</t>
    <phoneticPr fontId="10" type="noConversion"/>
  </si>
  <si>
    <t>UCM78013a+b</t>
    <phoneticPr fontId="10" type="noConversion"/>
  </si>
  <si>
    <t>M-737 &amp; M-738</t>
    <phoneticPr fontId="10" type="noConversion"/>
  </si>
  <si>
    <t>M-721</t>
    <phoneticPr fontId="10" type="noConversion"/>
  </si>
  <si>
    <t>UCM78032</t>
    <phoneticPr fontId="10" type="noConversion"/>
  </si>
  <si>
    <t>Curculionidae</t>
    <phoneticPr fontId="10" type="noConversion"/>
  </si>
  <si>
    <t>M-768</t>
    <phoneticPr fontId="10" type="noConversion"/>
  </si>
  <si>
    <t>Thysanoptera</t>
    <phoneticPr fontId="10" type="noConversion"/>
  </si>
  <si>
    <t>T</t>
    <phoneticPr fontId="10" type="noConversion"/>
  </si>
  <si>
    <t>M-769</t>
    <phoneticPr fontId="10" type="noConversion"/>
  </si>
  <si>
    <t>UCM78034</t>
    <phoneticPr fontId="10" type="noConversion"/>
  </si>
  <si>
    <t>Mycetophilidae</t>
    <phoneticPr fontId="10" type="noConversion"/>
  </si>
  <si>
    <t>M-770</t>
    <phoneticPr fontId="10" type="noConversion"/>
  </si>
  <si>
    <t>UCM78035</t>
    <phoneticPr fontId="10" type="noConversion"/>
  </si>
  <si>
    <t>UCM78022</t>
    <phoneticPr fontId="10" type="noConversion"/>
  </si>
  <si>
    <t>M-756</t>
    <phoneticPr fontId="10" type="noConversion"/>
  </si>
  <si>
    <t>E</t>
    <phoneticPr fontId="10" type="noConversion"/>
  </si>
  <si>
    <t>UCM78023</t>
    <phoneticPr fontId="10" type="noConversion"/>
  </si>
  <si>
    <t>Length could be greater, width chosen before the elytra begin to diverge too much</t>
    <phoneticPr fontId="10" type="noConversion"/>
  </si>
  <si>
    <t>4-12-#2</t>
    <phoneticPr fontId="10" type="noConversion"/>
  </si>
  <si>
    <t>Staphylinidae(?)</t>
    <phoneticPr fontId="10" type="noConversion"/>
  </si>
  <si>
    <t>M-881</t>
    <phoneticPr fontId="10" type="noConversion"/>
  </si>
  <si>
    <t>L</t>
    <phoneticPr fontId="10" type="noConversion"/>
  </si>
  <si>
    <t>UCM78060</t>
    <phoneticPr fontId="10" type="noConversion"/>
  </si>
  <si>
    <t>Tipulidae</t>
    <phoneticPr fontId="10" type="noConversion"/>
  </si>
  <si>
    <t>T</t>
    <phoneticPr fontId="10" type="noConversion"/>
  </si>
  <si>
    <t>UCM78061</t>
    <phoneticPr fontId="10" type="noConversion"/>
  </si>
  <si>
    <t>Coleoptera</t>
    <phoneticPr fontId="10" type="noConversion"/>
  </si>
  <si>
    <t>M-766</t>
    <phoneticPr fontId="10" type="noConversion"/>
  </si>
  <si>
    <t>T</t>
    <phoneticPr fontId="10" type="noConversion"/>
  </si>
  <si>
    <t>UCM78050</t>
    <phoneticPr fontId="10" type="noConversion"/>
  </si>
  <si>
    <t>Bibionomorpha</t>
    <phoneticPr fontId="10" type="noConversion"/>
  </si>
  <si>
    <t>M-789</t>
    <phoneticPr fontId="10" type="noConversion"/>
  </si>
  <si>
    <t>UCM78051</t>
    <phoneticPr fontId="10" type="noConversion"/>
  </si>
  <si>
    <t>Staphylinidae</t>
    <phoneticPr fontId="10" type="noConversion"/>
  </si>
  <si>
    <t>M-872</t>
    <phoneticPr fontId="10" type="noConversion"/>
  </si>
  <si>
    <t>L</t>
    <phoneticPr fontId="10" type="noConversion"/>
  </si>
  <si>
    <t>H+T+W+A</t>
    <phoneticPr fontId="10" type="noConversion"/>
  </si>
  <si>
    <t>3-20-#1</t>
    <phoneticPr fontId="10" type="noConversion"/>
  </si>
  <si>
    <t>Anthicidae(?)</t>
    <phoneticPr fontId="10" type="noConversion"/>
  </si>
  <si>
    <t>M-888</t>
    <phoneticPr fontId="10" type="noConversion"/>
  </si>
  <si>
    <t>3-6-#2</t>
    <phoneticPr fontId="10" type="noConversion"/>
  </si>
  <si>
    <t>M-889</t>
    <phoneticPr fontId="10" type="noConversion"/>
  </si>
  <si>
    <t>U-2-#1</t>
    <phoneticPr fontId="10" type="noConversion"/>
  </si>
  <si>
    <t>M-890</t>
    <phoneticPr fontId="10" type="noConversion"/>
  </si>
  <si>
    <t>M-778</t>
    <phoneticPr fontId="10" type="noConversion"/>
  </si>
  <si>
    <t>4-13-#1</t>
    <phoneticPr fontId="10" type="noConversion"/>
  </si>
  <si>
    <t>M-883</t>
    <phoneticPr fontId="10" type="noConversion"/>
  </si>
  <si>
    <t>M-885</t>
    <phoneticPr fontId="10" type="noConversion"/>
  </si>
  <si>
    <t>3-16-#1</t>
    <phoneticPr fontId="10" type="noConversion"/>
  </si>
  <si>
    <t>M-886</t>
    <phoneticPr fontId="10" type="noConversion"/>
  </si>
  <si>
    <t>4-48-#2</t>
    <phoneticPr fontId="10" type="noConversion"/>
  </si>
  <si>
    <t>M-893</t>
    <phoneticPr fontId="10" type="noConversion"/>
  </si>
  <si>
    <t>Lepidoptera</t>
    <phoneticPr fontId="10" type="noConversion"/>
  </si>
  <si>
    <t>T</t>
    <phoneticPr fontId="10" type="noConversion"/>
  </si>
  <si>
    <t>UCM78049</t>
    <phoneticPr fontId="10" type="noConversion"/>
  </si>
  <si>
    <t>M-788</t>
    <phoneticPr fontId="10" type="noConversion"/>
  </si>
  <si>
    <t>UCM78039</t>
    <phoneticPr fontId="10" type="noConversion"/>
  </si>
  <si>
    <t>Flatidae</t>
    <phoneticPr fontId="10" type="noConversion"/>
  </si>
  <si>
    <t>M-776</t>
    <phoneticPr fontId="10" type="noConversion"/>
  </si>
  <si>
    <t>W</t>
    <phoneticPr fontId="10" type="noConversion"/>
  </si>
  <si>
    <t>UCM78040</t>
    <phoneticPr fontId="10" type="noConversion"/>
  </si>
  <si>
    <t>M-777</t>
    <phoneticPr fontId="10" type="noConversion"/>
  </si>
  <si>
    <t>L</t>
    <phoneticPr fontId="10" type="noConversion"/>
  </si>
  <si>
    <t>UCM78016a+b</t>
    <phoneticPr fontId="10" type="noConversion"/>
  </si>
  <si>
    <t>Araneae</t>
    <phoneticPr fontId="10" type="noConversion"/>
  </si>
  <si>
    <t>M-743 &amp; M-744</t>
    <phoneticPr fontId="10" type="noConversion"/>
  </si>
  <si>
    <t>UCM78041</t>
    <phoneticPr fontId="10" type="noConversion"/>
  </si>
  <si>
    <t>Tipuloidea</t>
    <phoneticPr fontId="10" type="noConversion"/>
  </si>
  <si>
    <t>UCM78042</t>
    <phoneticPr fontId="10" type="noConversion"/>
  </si>
  <si>
    <t>M-779</t>
    <phoneticPr fontId="10" type="noConversion"/>
  </si>
  <si>
    <t>M-780</t>
    <phoneticPr fontId="10" type="noConversion"/>
  </si>
  <si>
    <t>M-801</t>
    <phoneticPr fontId="10" type="noConversion"/>
  </si>
  <si>
    <t>3-7-#1</t>
    <phoneticPr fontId="10" type="noConversion"/>
  </si>
  <si>
    <t>M-887</t>
    <phoneticPr fontId="10" type="noConversion"/>
  </si>
  <si>
    <t>4-17-#1</t>
    <phoneticPr fontId="10" type="noConversion"/>
  </si>
  <si>
    <t>Scarabaeidae</t>
    <phoneticPr fontId="10" type="noConversion"/>
  </si>
  <si>
    <t>M-874</t>
    <phoneticPr fontId="10" type="noConversion"/>
  </si>
  <si>
    <t>7-1-#1</t>
    <phoneticPr fontId="10" type="noConversion"/>
  </si>
  <si>
    <t>M-875</t>
    <phoneticPr fontId="10" type="noConversion"/>
  </si>
  <si>
    <t>H+T+A</t>
    <phoneticPr fontId="10" type="noConversion"/>
  </si>
  <si>
    <t>U-3-#1</t>
    <phoneticPr fontId="10" type="noConversion"/>
  </si>
  <si>
    <t>M-796</t>
    <phoneticPr fontId="10" type="noConversion"/>
  </si>
  <si>
    <t>M-797</t>
    <phoneticPr fontId="10" type="noConversion"/>
  </si>
  <si>
    <t>Mordellidae</t>
    <phoneticPr fontId="10" type="noConversion"/>
  </si>
  <si>
    <t>M-798</t>
    <phoneticPr fontId="10" type="noConversion"/>
  </si>
  <si>
    <t>APKQB24</t>
    <phoneticPr fontId="10" type="noConversion"/>
  </si>
  <si>
    <t>M-799</t>
    <phoneticPr fontId="10" type="noConversion"/>
  </si>
  <si>
    <t>UCM78058</t>
    <phoneticPr fontId="10" type="noConversion"/>
  </si>
  <si>
    <t>M-723</t>
    <phoneticPr fontId="10" type="noConversion"/>
  </si>
  <si>
    <t>M-724</t>
    <phoneticPr fontId="10" type="noConversion"/>
  </si>
  <si>
    <t>M-725 &amp; M-726</t>
    <phoneticPr fontId="10" type="noConversion"/>
  </si>
  <si>
    <t>Insecta</t>
    <phoneticPr fontId="10" type="noConversion"/>
  </si>
  <si>
    <t>APKQB11a+b</t>
    <phoneticPr fontId="10" type="noConversion"/>
  </si>
  <si>
    <t>Mycetophilidae</t>
    <phoneticPr fontId="10" type="noConversion"/>
  </si>
  <si>
    <t>M-727 &amp; M-728</t>
    <phoneticPr fontId="10" type="noConversion"/>
  </si>
  <si>
    <t>L</t>
    <phoneticPr fontId="10" type="noConversion"/>
  </si>
  <si>
    <t>UCM78004a+b</t>
    <phoneticPr fontId="10" type="noConversion"/>
  </si>
  <si>
    <t>UCM78005a+b</t>
    <phoneticPr fontId="10" type="noConversion"/>
  </si>
  <si>
    <t>M-714 &amp; M-715</t>
    <phoneticPr fontId="10" type="noConversion"/>
  </si>
  <si>
    <t>M-712 &amp; M-713</t>
    <phoneticPr fontId="10" type="noConversion"/>
  </si>
  <si>
    <t>M-689</t>
    <phoneticPr fontId="10" type="noConversion"/>
  </si>
  <si>
    <t>UCM77186</t>
    <phoneticPr fontId="10" type="noConversion"/>
  </si>
  <si>
    <t>Hymenoptera</t>
    <phoneticPr fontId="10" type="noConversion"/>
  </si>
  <si>
    <t>M-690</t>
    <phoneticPr fontId="10" type="noConversion"/>
  </si>
  <si>
    <t>UCM77187</t>
    <phoneticPr fontId="10" type="noConversion"/>
  </si>
  <si>
    <t>UCM78030</t>
    <phoneticPr fontId="10" type="noConversion"/>
  </si>
  <si>
    <t>APKQB08</t>
    <phoneticPr fontId="10" type="noConversion"/>
  </si>
  <si>
    <t>M-720</t>
    <phoneticPr fontId="10" type="noConversion"/>
  </si>
  <si>
    <t>UCM78031</t>
    <phoneticPr fontId="10" type="noConversion"/>
  </si>
  <si>
    <t>M-767</t>
    <phoneticPr fontId="10" type="noConversion"/>
  </si>
  <si>
    <t>M-787 &amp; M-790</t>
    <phoneticPr fontId="10" type="noConversion"/>
  </si>
  <si>
    <t>UCM78048a+b</t>
    <phoneticPr fontId="10" type="noConversion"/>
  </si>
  <si>
    <t>UCM78052</t>
    <phoneticPr fontId="10" type="noConversion"/>
  </si>
  <si>
    <t>UCM78053</t>
    <phoneticPr fontId="10" type="noConversion"/>
  </si>
  <si>
    <t>APKQB23</t>
    <phoneticPr fontId="10" type="noConversion"/>
  </si>
  <si>
    <t>4-16-#1</t>
    <phoneticPr fontId="10" type="noConversion"/>
  </si>
  <si>
    <t>M-873</t>
    <phoneticPr fontId="10" type="noConversion"/>
  </si>
  <si>
    <t>UCM78047</t>
    <phoneticPr fontId="10" type="noConversion"/>
  </si>
  <si>
    <t>Brachycera</t>
    <phoneticPr fontId="10" type="noConversion"/>
  </si>
  <si>
    <t>M-786</t>
    <phoneticPr fontId="10" type="noConversion"/>
  </si>
  <si>
    <t>T+A</t>
    <phoneticPr fontId="10" type="noConversion"/>
  </si>
  <si>
    <t>UCM78054</t>
    <phoneticPr fontId="10" type="noConversion"/>
  </si>
  <si>
    <t>UCM78046</t>
    <phoneticPr fontId="10" type="noConversion"/>
  </si>
  <si>
    <t>Tipuloidea</t>
    <phoneticPr fontId="10" type="noConversion"/>
  </si>
  <si>
    <t>M-783</t>
    <phoneticPr fontId="10" type="noConversion"/>
  </si>
  <si>
    <t>APKQB21</t>
    <phoneticPr fontId="10" type="noConversion"/>
  </si>
  <si>
    <t>Diptera</t>
    <phoneticPr fontId="10" type="noConversion"/>
  </si>
  <si>
    <t>M-784</t>
    <phoneticPr fontId="10" type="noConversion"/>
  </si>
  <si>
    <t>APKQB22</t>
    <phoneticPr fontId="10" type="noConversion"/>
  </si>
  <si>
    <t>Thysanoptera(?)</t>
    <phoneticPr fontId="10" type="noConversion"/>
  </si>
  <si>
    <t>M-785</t>
    <phoneticPr fontId="10" type="noConversion"/>
  </si>
  <si>
    <t>O</t>
    <phoneticPr fontId="10" type="noConversion"/>
  </si>
  <si>
    <t>UCM78026</t>
    <phoneticPr fontId="10" type="noConversion"/>
  </si>
  <si>
    <t>M-760</t>
    <phoneticPr fontId="10" type="noConversion"/>
  </si>
  <si>
    <t>UCM78027</t>
    <phoneticPr fontId="10" type="noConversion"/>
  </si>
  <si>
    <t>M-761</t>
    <phoneticPr fontId="10" type="noConversion"/>
  </si>
  <si>
    <t>UCM78028</t>
    <phoneticPr fontId="10" type="noConversion"/>
  </si>
  <si>
    <t>Diptera(?)</t>
    <phoneticPr fontId="10" type="noConversion"/>
  </si>
  <si>
    <t>M-762</t>
    <phoneticPr fontId="10" type="noConversion"/>
  </si>
  <si>
    <t>UCM78029</t>
    <phoneticPr fontId="10" type="noConversion"/>
  </si>
  <si>
    <t>M-763</t>
    <phoneticPr fontId="10" type="noConversion"/>
  </si>
  <si>
    <t>M-739 &amp; M-740</t>
    <phoneticPr fontId="10" type="noConversion"/>
  </si>
  <si>
    <t>M-741 &amp; M-742</t>
    <phoneticPr fontId="10" type="noConversion"/>
  </si>
  <si>
    <t>UCM78043</t>
    <phoneticPr fontId="10" type="noConversion"/>
  </si>
  <si>
    <t>UCM78044</t>
    <phoneticPr fontId="10" type="noConversion"/>
  </si>
  <si>
    <t>L</t>
    <phoneticPr fontId="10" type="noConversion"/>
  </si>
  <si>
    <t>UCM78045</t>
    <phoneticPr fontId="10" type="noConversion"/>
  </si>
  <si>
    <t>APKQB15a+b</t>
    <phoneticPr fontId="10" type="noConversion"/>
  </si>
  <si>
    <t>M-751 &amp; M-752</t>
    <phoneticPr fontId="10" type="noConversion"/>
  </si>
  <si>
    <t>M-771</t>
    <phoneticPr fontId="10" type="noConversion"/>
  </si>
  <si>
    <t>M-802</t>
    <phoneticPr fontId="10" type="noConversion"/>
  </si>
  <si>
    <t>M-803</t>
    <phoneticPr fontId="10" type="noConversion"/>
  </si>
  <si>
    <t>UCM78062</t>
    <phoneticPr fontId="10" type="noConversion"/>
  </si>
  <si>
    <t>M-804</t>
    <phoneticPr fontId="10" type="noConversion"/>
  </si>
  <si>
    <t>M-782</t>
    <phoneticPr fontId="10" type="noConversion"/>
  </si>
  <si>
    <t>APKQB19</t>
    <phoneticPr fontId="10" type="noConversion"/>
  </si>
  <si>
    <t>M-772</t>
    <phoneticPr fontId="10" type="noConversion"/>
  </si>
  <si>
    <t>L</t>
    <phoneticPr fontId="10" type="noConversion"/>
  </si>
  <si>
    <t>UCM78036</t>
    <phoneticPr fontId="10" type="noConversion"/>
  </si>
  <si>
    <t>Cecidomyiidae</t>
    <phoneticPr fontId="10" type="noConversion"/>
  </si>
  <si>
    <t>M-772</t>
    <phoneticPr fontId="10" type="noConversion"/>
  </si>
  <si>
    <t>APKQB20</t>
    <phoneticPr fontId="10" type="noConversion"/>
  </si>
  <si>
    <t>Diptera(?)</t>
    <phoneticPr fontId="10" type="noConversion"/>
  </si>
  <si>
    <t>Hymenoptera(?)</t>
    <phoneticPr fontId="10" type="noConversion"/>
  </si>
  <si>
    <t>M-773</t>
    <phoneticPr fontId="10" type="noConversion"/>
  </si>
  <si>
    <t>UCM78037</t>
    <phoneticPr fontId="10" type="noConversion"/>
  </si>
  <si>
    <t>UCM78011a+b</t>
    <phoneticPr fontId="10" type="noConversion"/>
  </si>
  <si>
    <t>M-729 &amp; M-730</t>
    <phoneticPr fontId="10" type="noConversion"/>
  </si>
  <si>
    <t>APKQB12a+b</t>
    <phoneticPr fontId="10" type="noConversion"/>
  </si>
  <si>
    <t>Diptera(?)</t>
    <phoneticPr fontId="10" type="noConversion"/>
  </si>
  <si>
    <t>M-731 &amp; M-732</t>
    <phoneticPr fontId="10" type="noConversion"/>
  </si>
  <si>
    <t>APKQB13a+b</t>
    <phoneticPr fontId="10" type="noConversion"/>
  </si>
  <si>
    <t>Insecta</t>
    <phoneticPr fontId="10" type="noConversion"/>
  </si>
  <si>
    <t>M-733 &amp; M-734</t>
    <phoneticPr fontId="10" type="noConversion"/>
  </si>
  <si>
    <t>UCM78012a+b</t>
    <phoneticPr fontId="10" type="noConversion"/>
  </si>
  <si>
    <t>M-735 &amp; M-736</t>
    <phoneticPr fontId="10" type="noConversion"/>
  </si>
  <si>
    <t>M-687</t>
    <phoneticPr fontId="10" type="noConversion"/>
  </si>
  <si>
    <t>UCM77184</t>
    <phoneticPr fontId="10" type="noConversion"/>
  </si>
  <si>
    <t>Insecta</t>
    <phoneticPr fontId="10" type="noConversion"/>
  </si>
  <si>
    <t>M-688</t>
    <phoneticPr fontId="10" type="noConversion"/>
  </si>
  <si>
    <t>DV(?)</t>
    <phoneticPr fontId="10" type="noConversion"/>
  </si>
  <si>
    <t>UCM77185</t>
    <phoneticPr fontId="10" type="noConversion"/>
  </si>
  <si>
    <t>Cixiidae</t>
    <phoneticPr fontId="10" type="noConversion"/>
  </si>
  <si>
    <t>UCM77162a+b</t>
    <phoneticPr fontId="10" type="noConversion"/>
  </si>
  <si>
    <t>Curculionidae</t>
    <phoneticPr fontId="10" type="noConversion"/>
  </si>
  <si>
    <t>M-656 &amp; M-657</t>
    <phoneticPr fontId="10" type="noConversion"/>
  </si>
  <si>
    <t>O</t>
    <phoneticPr fontId="10" type="noConversion"/>
  </si>
  <si>
    <t>H+T+A</t>
    <phoneticPr fontId="10" type="noConversion"/>
  </si>
  <si>
    <t>UCM77163a+b</t>
    <phoneticPr fontId="10" type="noConversion"/>
  </si>
  <si>
    <t>Coleoptera(?)</t>
    <phoneticPr fontId="10" type="noConversion"/>
  </si>
  <si>
    <t>M-657 &amp; M-658</t>
    <phoneticPr fontId="10" type="noConversion"/>
  </si>
  <si>
    <t>T+A</t>
    <phoneticPr fontId="10" type="noConversion"/>
  </si>
  <si>
    <t>M-390</t>
    <phoneticPr fontId="10" type="noConversion"/>
  </si>
  <si>
    <t>M-385</t>
    <phoneticPr fontId="10" type="noConversion"/>
  </si>
  <si>
    <t>Curculionoidea(?)</t>
    <phoneticPr fontId="10" type="noConversion"/>
  </si>
  <si>
    <t>M-757</t>
    <phoneticPr fontId="10" type="noConversion"/>
  </si>
  <si>
    <t>UCM78024</t>
    <phoneticPr fontId="10" type="noConversion"/>
  </si>
  <si>
    <t>Heteroptera</t>
    <phoneticPr fontId="10" type="noConversion"/>
  </si>
  <si>
    <t>M-758</t>
    <phoneticPr fontId="10" type="noConversion"/>
  </si>
  <si>
    <t>UCM78025</t>
    <phoneticPr fontId="10" type="noConversion"/>
  </si>
  <si>
    <t>Curculionoidea(?)</t>
    <phoneticPr fontId="10" type="noConversion"/>
  </si>
  <si>
    <t>M-759</t>
    <phoneticPr fontId="10" type="noConversion"/>
  </si>
  <si>
    <t>APKQB04</t>
    <phoneticPr fontId="10" type="noConversion"/>
  </si>
  <si>
    <t>M-716</t>
    <phoneticPr fontId="10" type="noConversion"/>
  </si>
  <si>
    <t>L</t>
    <phoneticPr fontId="10" type="noConversion"/>
  </si>
  <si>
    <t>UCM78006</t>
    <phoneticPr fontId="10" type="noConversion"/>
  </si>
  <si>
    <t>M-717</t>
    <phoneticPr fontId="10" type="noConversion"/>
  </si>
  <si>
    <t>APKQB05</t>
    <phoneticPr fontId="10" type="noConversion"/>
  </si>
  <si>
    <t>Coleoptera</t>
    <phoneticPr fontId="10" type="noConversion"/>
  </si>
  <si>
    <t>M-718</t>
    <phoneticPr fontId="10" type="noConversion"/>
  </si>
  <si>
    <t>APKQB06</t>
    <phoneticPr fontId="10" type="noConversion"/>
  </si>
  <si>
    <t>M-719</t>
    <phoneticPr fontId="10" type="noConversion"/>
  </si>
  <si>
    <t>APKQB07</t>
    <phoneticPr fontId="10" type="noConversion"/>
  </si>
  <si>
    <t>Diptera</t>
    <phoneticPr fontId="10" type="noConversion"/>
  </si>
  <si>
    <t>M-719</t>
    <phoneticPr fontId="10" type="noConversion"/>
  </si>
  <si>
    <t>L</t>
    <phoneticPr fontId="10" type="noConversion"/>
  </si>
  <si>
    <t>Auchenorrhyncha</t>
    <phoneticPr fontId="10" type="noConversion"/>
  </si>
  <si>
    <t>M-679 &amp; M-680</t>
    <phoneticPr fontId="10" type="noConversion"/>
  </si>
  <si>
    <t>APKQB14a+b</t>
    <phoneticPr fontId="10" type="noConversion"/>
  </si>
  <si>
    <t>M-745 &amp; M-746</t>
    <phoneticPr fontId="10" type="noConversion"/>
  </si>
  <si>
    <t>UCM78017a+b</t>
    <phoneticPr fontId="10" type="noConversion"/>
  </si>
  <si>
    <t>Hymenoptera</t>
    <phoneticPr fontId="10" type="noConversion"/>
  </si>
  <si>
    <t>Tipuloidea</t>
    <phoneticPr fontId="10" type="noConversion"/>
  </si>
  <si>
    <t>M-781</t>
    <phoneticPr fontId="10" type="noConversion"/>
  </si>
  <si>
    <t>UCM78018a+b</t>
    <phoneticPr fontId="10" type="noConversion"/>
  </si>
  <si>
    <t>APKQB18</t>
    <phoneticPr fontId="10" type="noConversion"/>
  </si>
  <si>
    <t>Insecta</t>
    <phoneticPr fontId="10" type="noConversion"/>
  </si>
  <si>
    <t>M-772</t>
    <phoneticPr fontId="10" type="noConversion"/>
  </si>
  <si>
    <t>H+T+A</t>
    <phoneticPr fontId="10" type="noConversion"/>
  </si>
  <si>
    <t>UCM78019</t>
    <phoneticPr fontId="10" type="noConversion"/>
  </si>
  <si>
    <t>M-753</t>
    <phoneticPr fontId="10" type="noConversion"/>
  </si>
  <si>
    <t>O</t>
    <phoneticPr fontId="10" type="noConversion"/>
  </si>
  <si>
    <t>UCM78020</t>
    <phoneticPr fontId="10" type="noConversion"/>
  </si>
  <si>
    <t>M-754</t>
    <phoneticPr fontId="10" type="noConversion"/>
  </si>
  <si>
    <t>UCM78021</t>
    <phoneticPr fontId="10" type="noConversion"/>
  </si>
  <si>
    <t>Heteroptera(?)</t>
    <phoneticPr fontId="10" type="noConversion"/>
  </si>
  <si>
    <t>M-755</t>
    <phoneticPr fontId="10" type="noConversion"/>
  </si>
  <si>
    <t>UCM78010a+b</t>
    <phoneticPr fontId="10" type="noConversion"/>
  </si>
  <si>
    <t>UCM77199</t>
    <phoneticPr fontId="10" type="noConversion"/>
  </si>
  <si>
    <t>M-703</t>
    <phoneticPr fontId="10" type="noConversion"/>
  </si>
  <si>
    <t>O</t>
    <phoneticPr fontId="10" type="noConversion"/>
  </si>
  <si>
    <t>UCM77200</t>
    <phoneticPr fontId="10" type="noConversion"/>
  </si>
  <si>
    <t>Staphylinidae</t>
    <phoneticPr fontId="10" type="noConversion"/>
  </si>
  <si>
    <t>M-703</t>
    <phoneticPr fontId="10" type="noConversion"/>
  </si>
  <si>
    <t>Muscomorpha</t>
    <phoneticPr fontId="10" type="noConversion"/>
  </si>
  <si>
    <t>M-704 &amp; M-705</t>
    <phoneticPr fontId="10" type="noConversion"/>
  </si>
  <si>
    <t>UCM77190a+b</t>
    <phoneticPr fontId="10" type="noConversion"/>
  </si>
  <si>
    <t>UCM77188a+b</t>
    <phoneticPr fontId="10" type="noConversion"/>
  </si>
  <si>
    <t>UCM77189a+b</t>
    <phoneticPr fontId="10" type="noConversion"/>
  </si>
  <si>
    <t>Coleoptera</t>
    <phoneticPr fontId="10" type="noConversion"/>
  </si>
  <si>
    <t>M-694 &amp; M-695</t>
    <phoneticPr fontId="10" type="noConversion"/>
  </si>
  <si>
    <t>UCM77164a+b</t>
    <phoneticPr fontId="10" type="noConversion"/>
  </si>
  <si>
    <t>UCM78014a+b</t>
    <phoneticPr fontId="10" type="noConversion"/>
  </si>
  <si>
    <t>UCM77191a+b</t>
    <phoneticPr fontId="10" type="noConversion"/>
  </si>
  <si>
    <t>UCM78015a+b</t>
    <phoneticPr fontId="10" type="noConversion"/>
  </si>
  <si>
    <t>Araneae(?)</t>
    <phoneticPr fontId="10" type="noConversion"/>
  </si>
  <si>
    <t>Auchenorrhyncha</t>
    <phoneticPr fontId="10" type="noConversion"/>
  </si>
  <si>
    <t>UCM78033</t>
    <phoneticPr fontId="10" type="noConversion"/>
  </si>
  <si>
    <t>UCM78009</t>
    <phoneticPr fontId="10" type="noConversion"/>
  </si>
  <si>
    <t>APKQB09</t>
    <phoneticPr fontId="10" type="noConversion"/>
  </si>
  <si>
    <t>APKQB10</t>
    <phoneticPr fontId="10" type="noConversion"/>
  </si>
  <si>
    <t>Auchenorrhyncha</t>
    <phoneticPr fontId="10" type="noConversion"/>
  </si>
  <si>
    <t>M-722</t>
    <phoneticPr fontId="10" type="noConversion"/>
  </si>
  <si>
    <t>M-652 &amp; M-653</t>
    <phoneticPr fontId="10" type="noConversion"/>
  </si>
  <si>
    <t>M-652 &amp; M-653</t>
    <phoneticPr fontId="10" type="noConversion"/>
  </si>
  <si>
    <t>H+T+A</t>
    <phoneticPr fontId="10" type="noConversion"/>
  </si>
  <si>
    <t>UCM77161a+b</t>
    <phoneticPr fontId="10" type="noConversion"/>
  </si>
  <si>
    <t>UCM77160a+b</t>
    <phoneticPr fontId="10" type="noConversion"/>
  </si>
  <si>
    <t>UCM77159a+b</t>
    <phoneticPr fontId="10" type="noConversion"/>
  </si>
  <si>
    <t>Araneae</t>
    <phoneticPr fontId="10" type="noConversion"/>
  </si>
  <si>
    <t>M-654 &amp; M-655</t>
    <phoneticPr fontId="10" type="noConversion"/>
  </si>
  <si>
    <t>UCM76058a+b</t>
    <phoneticPr fontId="10" type="noConversion"/>
  </si>
  <si>
    <t>Thysanoptera</t>
    <phoneticPr fontId="10" type="noConversion"/>
  </si>
  <si>
    <t>UCM76059a+b</t>
    <phoneticPr fontId="10" type="noConversion"/>
  </si>
  <si>
    <t>Insecta</t>
    <phoneticPr fontId="10" type="noConversion"/>
  </si>
  <si>
    <t>UCM76089a+b</t>
    <phoneticPr fontId="10" type="noConversion"/>
  </si>
  <si>
    <t>L</t>
    <phoneticPr fontId="10" type="noConversion"/>
  </si>
  <si>
    <t>UCM76031</t>
    <phoneticPr fontId="10" type="noConversion"/>
  </si>
  <si>
    <t>L(?)</t>
    <phoneticPr fontId="10" type="noConversion"/>
  </si>
  <si>
    <t>UCM76087</t>
    <phoneticPr fontId="10" type="noConversion"/>
  </si>
  <si>
    <t>Lepidoptera(?)</t>
    <phoneticPr fontId="10" type="noConversion"/>
  </si>
  <si>
    <t>M-691</t>
    <phoneticPr fontId="10" type="noConversion"/>
  </si>
  <si>
    <t>Auchenorrhyncha</t>
    <phoneticPr fontId="10" type="noConversion"/>
  </si>
  <si>
    <t>M-692 &amp; M-693</t>
    <phoneticPr fontId="10" type="noConversion"/>
  </si>
  <si>
    <t>Diptera(?)</t>
    <phoneticPr fontId="10" type="noConversion"/>
  </si>
  <si>
    <t>M-692 &amp; M-693</t>
    <phoneticPr fontId="10" type="noConversion"/>
  </si>
  <si>
    <t>T(?)</t>
    <phoneticPr fontId="10" type="noConversion"/>
  </si>
  <si>
    <t>UCM77176a+b</t>
    <phoneticPr fontId="10" type="noConversion"/>
  </si>
  <si>
    <t>H+T+W+A</t>
    <phoneticPr fontId="10" type="noConversion"/>
  </si>
  <si>
    <t>UCM78007</t>
    <phoneticPr fontId="10" type="noConversion"/>
  </si>
  <si>
    <t>M-719</t>
    <phoneticPr fontId="10" type="noConversion"/>
  </si>
  <si>
    <t>H+T, A</t>
    <phoneticPr fontId="10" type="noConversion"/>
  </si>
  <si>
    <t>UCM77177a+b</t>
    <phoneticPr fontId="10" type="noConversion"/>
  </si>
  <si>
    <t>M-706 &amp; M-707</t>
    <phoneticPr fontId="10" type="noConversion"/>
  </si>
  <si>
    <t>Mycetophilidae</t>
    <phoneticPr fontId="10" type="noConversion"/>
  </si>
  <si>
    <t>M-706 &amp; M-707</t>
    <phoneticPr fontId="10" type="noConversion"/>
  </si>
  <si>
    <t>M-747 &amp; M-748</t>
    <phoneticPr fontId="10" type="noConversion"/>
  </si>
  <si>
    <t>L, A</t>
    <phoneticPr fontId="10" type="noConversion"/>
  </si>
  <si>
    <t>APKQB02</t>
    <phoneticPr fontId="10" type="noConversion"/>
  </si>
  <si>
    <t>M-708</t>
    <phoneticPr fontId="10" type="noConversion"/>
  </si>
  <si>
    <t>M-749 &amp; M-750</t>
    <phoneticPr fontId="10" type="noConversion"/>
  </si>
  <si>
    <t>L</t>
    <phoneticPr fontId="10" type="noConversion"/>
  </si>
  <si>
    <t>UCM78001a+b</t>
    <phoneticPr fontId="10" type="noConversion"/>
  </si>
  <si>
    <t>UCM78002a+b</t>
    <phoneticPr fontId="10" type="noConversion"/>
  </si>
  <si>
    <t>APKQB01a+b</t>
    <phoneticPr fontId="10" type="noConversion"/>
  </si>
  <si>
    <t>APKQB03a+b</t>
    <phoneticPr fontId="10" type="noConversion"/>
  </si>
  <si>
    <t>M-710 &amp; M-711</t>
    <phoneticPr fontId="10" type="noConversion"/>
  </si>
  <si>
    <t>Diptera(?)</t>
    <phoneticPr fontId="10" type="noConversion"/>
  </si>
  <si>
    <t>UCM77197a+b</t>
    <phoneticPr fontId="10" type="noConversion"/>
  </si>
  <si>
    <t>M-700 &amp; M-701</t>
    <phoneticPr fontId="10" type="noConversion"/>
  </si>
  <si>
    <t>UCM77198a+b</t>
    <phoneticPr fontId="10" type="noConversion"/>
  </si>
  <si>
    <t>M-700 to M-702</t>
    <phoneticPr fontId="10" type="noConversion"/>
  </si>
  <si>
    <t>UCM77172a+b</t>
    <phoneticPr fontId="10" type="noConversion"/>
  </si>
  <si>
    <t>M-673 &amp; M-674</t>
    <phoneticPr fontId="10" type="noConversion"/>
  </si>
  <si>
    <t>UCM77173a+b</t>
    <phoneticPr fontId="10" type="noConversion"/>
  </si>
  <si>
    <t>H+T</t>
    <phoneticPr fontId="10" type="noConversion"/>
  </si>
  <si>
    <t>UCM77174a+b</t>
    <phoneticPr fontId="10" type="noConversion"/>
  </si>
  <si>
    <t>Cixiidae</t>
    <phoneticPr fontId="10" type="noConversion"/>
  </si>
  <si>
    <t>M-675 &amp; M-676</t>
    <phoneticPr fontId="10" type="noConversion"/>
  </si>
  <si>
    <t>UCM77175a+b</t>
    <phoneticPr fontId="10" type="noConversion"/>
  </si>
  <si>
    <t>Diptera</t>
    <phoneticPr fontId="10" type="noConversion"/>
  </si>
  <si>
    <t>M-677 &amp; M-678</t>
    <phoneticPr fontId="10" type="noConversion"/>
  </si>
  <si>
    <t>L</t>
    <phoneticPr fontId="10" type="noConversion"/>
  </si>
  <si>
    <t>H+T+W</t>
    <phoneticPr fontId="10" type="noConversion"/>
  </si>
  <si>
    <t>Insecta</t>
    <phoneticPr fontId="10" type="noConversion"/>
  </si>
  <si>
    <t>M-696</t>
    <phoneticPr fontId="10" type="noConversion"/>
  </si>
  <si>
    <t>DV</t>
    <phoneticPr fontId="10" type="noConversion"/>
  </si>
  <si>
    <t>Ant</t>
    <phoneticPr fontId="10" type="noConversion"/>
  </si>
  <si>
    <t>UCM77193</t>
    <phoneticPr fontId="10" type="noConversion"/>
  </si>
  <si>
    <t>UCM77192</t>
    <phoneticPr fontId="10" type="noConversion"/>
  </si>
  <si>
    <t>UCM78008</t>
    <phoneticPr fontId="10" type="noConversion"/>
  </si>
  <si>
    <t>UCM77194a+b</t>
    <phoneticPr fontId="10" type="noConversion"/>
  </si>
  <si>
    <t>Chalcidoidea</t>
    <phoneticPr fontId="10" type="noConversion"/>
  </si>
  <si>
    <t>M-697 &amp; M-698</t>
    <phoneticPr fontId="10" type="noConversion"/>
  </si>
  <si>
    <t>Coleoptera(?)</t>
    <phoneticPr fontId="10" type="noConversion"/>
  </si>
  <si>
    <t>UCM77195</t>
    <phoneticPr fontId="10" type="noConversion"/>
  </si>
  <si>
    <t>M-699</t>
    <phoneticPr fontId="10" type="noConversion"/>
  </si>
  <si>
    <t>UCM77167a+b</t>
    <phoneticPr fontId="10" type="noConversion"/>
  </si>
  <si>
    <t>M-663 &amp; M-664</t>
    <phoneticPr fontId="10" type="noConversion"/>
  </si>
  <si>
    <t>UCM77196a+b</t>
    <phoneticPr fontId="10" type="noConversion"/>
  </si>
  <si>
    <t>M-700 &amp; M-701</t>
    <phoneticPr fontId="10" type="noConversion"/>
  </si>
  <si>
    <t>UCM77182</t>
    <phoneticPr fontId="10" type="noConversion"/>
  </si>
  <si>
    <t>Coleoptera</t>
    <phoneticPr fontId="10" type="noConversion"/>
  </si>
  <si>
    <t>M-686</t>
    <phoneticPr fontId="10" type="noConversion"/>
  </si>
  <si>
    <t>UCM77183</t>
    <phoneticPr fontId="10" type="noConversion"/>
  </si>
  <si>
    <t>Insecta</t>
    <phoneticPr fontId="10" type="noConversion"/>
  </si>
  <si>
    <t>UCM76084</t>
    <phoneticPr fontId="10" type="noConversion"/>
  </si>
  <si>
    <t>Trichoptera(?)</t>
    <phoneticPr fontId="10" type="noConversion"/>
  </si>
  <si>
    <t>UCM76055</t>
    <phoneticPr fontId="10" type="noConversion"/>
  </si>
  <si>
    <t>Thysanoptera(?)</t>
    <phoneticPr fontId="10" type="noConversion"/>
  </si>
  <si>
    <t>UCM76056</t>
    <phoneticPr fontId="10" type="noConversion"/>
  </si>
  <si>
    <t>Tipuloidea</t>
    <phoneticPr fontId="10" type="noConversion"/>
  </si>
  <si>
    <t>H+T</t>
    <phoneticPr fontId="10" type="noConversion"/>
  </si>
  <si>
    <t>UCM76057</t>
    <phoneticPr fontId="10" type="noConversion"/>
  </si>
  <si>
    <t>UCM76042a+b</t>
    <phoneticPr fontId="10" type="noConversion"/>
  </si>
  <si>
    <t>Staphylinidae(?)</t>
    <phoneticPr fontId="10" type="noConversion"/>
  </si>
  <si>
    <t>UCM76029a+b</t>
    <phoneticPr fontId="10" type="noConversion"/>
  </si>
  <si>
    <t>UCM76030a+b</t>
    <phoneticPr fontId="10" type="noConversion"/>
  </si>
  <si>
    <t>H+T+A</t>
    <phoneticPr fontId="10" type="noConversion"/>
  </si>
  <si>
    <t>UCM76002</t>
    <phoneticPr fontId="10" type="noConversion"/>
  </si>
  <si>
    <t>O</t>
    <phoneticPr fontId="10" type="noConversion"/>
  </si>
  <si>
    <t>H+T+A</t>
    <phoneticPr fontId="10" type="noConversion"/>
  </si>
  <si>
    <t>UCM76088a+b</t>
    <phoneticPr fontId="10" type="noConversion"/>
  </si>
  <si>
    <t>M-386 &amp; M-387</t>
    <phoneticPr fontId="10" type="noConversion"/>
  </si>
  <si>
    <t>M-388 &amp; M-389</t>
    <phoneticPr fontId="10" type="noConversion"/>
  </si>
  <si>
    <t>M-396</t>
    <phoneticPr fontId="10" type="noConversion"/>
  </si>
  <si>
    <t>M-397</t>
    <phoneticPr fontId="10" type="noConversion"/>
  </si>
  <si>
    <t>Measurements based on M-360; width difficult to decide on</t>
    <phoneticPr fontId="10" type="noConversion"/>
  </si>
  <si>
    <t>O</t>
    <phoneticPr fontId="10" type="noConversion"/>
  </si>
  <si>
    <t>Heteroptera</t>
    <phoneticPr fontId="10" type="noConversion"/>
  </si>
  <si>
    <t>UCM77178a+b</t>
    <phoneticPr fontId="10" type="noConversion"/>
  </si>
  <si>
    <t>Mycetophilidae</t>
    <phoneticPr fontId="10" type="noConversion"/>
  </si>
  <si>
    <t>UCM77179a+b</t>
    <phoneticPr fontId="10" type="noConversion"/>
  </si>
  <si>
    <t>Ichneumonidae</t>
    <phoneticPr fontId="10" type="noConversion"/>
  </si>
  <si>
    <t>M-683 &amp; M-684</t>
    <phoneticPr fontId="10" type="noConversion"/>
  </si>
  <si>
    <t>L</t>
    <phoneticPr fontId="10" type="noConversion"/>
  </si>
  <si>
    <t>UCM77180a+b</t>
    <phoneticPr fontId="10" type="noConversion"/>
  </si>
  <si>
    <t>Hymenoptera</t>
    <phoneticPr fontId="10" type="noConversion"/>
  </si>
  <si>
    <t>UCM78003</t>
    <phoneticPr fontId="10" type="noConversion"/>
  </si>
  <si>
    <t>M-709</t>
    <phoneticPr fontId="10" type="noConversion"/>
  </si>
  <si>
    <t>Muscomorpha</t>
    <phoneticPr fontId="10" type="noConversion"/>
  </si>
  <si>
    <t>M-685</t>
    <phoneticPr fontId="10" type="noConversion"/>
  </si>
  <si>
    <t>L</t>
    <phoneticPr fontId="10" type="noConversion"/>
  </si>
  <si>
    <t>A, W</t>
    <phoneticPr fontId="10" type="noConversion"/>
  </si>
  <si>
    <t>UCM77181</t>
    <phoneticPr fontId="10" type="noConversion"/>
  </si>
  <si>
    <t>UCM77170a+b</t>
    <phoneticPr fontId="10" type="noConversion"/>
  </si>
  <si>
    <t>Coleoptera</t>
    <phoneticPr fontId="10" type="noConversion"/>
  </si>
  <si>
    <t>M-669 &amp; M-670</t>
    <phoneticPr fontId="10" type="noConversion"/>
  </si>
  <si>
    <t>H+T+A</t>
    <phoneticPr fontId="10" type="noConversion"/>
  </si>
  <si>
    <t>UCM77171a+b</t>
    <phoneticPr fontId="10" type="noConversion"/>
  </si>
  <si>
    <t>Hymenoptera(?)</t>
    <phoneticPr fontId="10" type="noConversion"/>
  </si>
  <si>
    <t>M-671 &amp; M-672</t>
    <phoneticPr fontId="10" type="noConversion"/>
  </si>
  <si>
    <t>L(?)</t>
    <phoneticPr fontId="10" type="noConversion"/>
  </si>
  <si>
    <t>T+W+A</t>
    <phoneticPr fontId="10" type="noConversion"/>
  </si>
  <si>
    <t>UCM76100</t>
    <phoneticPr fontId="10" type="noConversion"/>
  </si>
  <si>
    <t>M-405 &amp; M-406</t>
    <phoneticPr fontId="10" type="noConversion"/>
  </si>
  <si>
    <t>M-407 &amp; M-408</t>
    <phoneticPr fontId="10" type="noConversion"/>
  </si>
  <si>
    <t>Sciaroidea</t>
    <phoneticPr fontId="10" type="noConversion"/>
  </si>
  <si>
    <t>Mycetophilidae(?)</t>
    <phoneticPr fontId="10" type="noConversion"/>
  </si>
  <si>
    <t>UCM76092</t>
    <phoneticPr fontId="10" type="noConversion"/>
  </si>
  <si>
    <t>M-413 &amp; M-414</t>
    <phoneticPr fontId="10" type="noConversion"/>
  </si>
  <si>
    <t>UCM76048a+b</t>
    <phoneticPr fontId="10" type="noConversion"/>
  </si>
  <si>
    <t>T</t>
    <phoneticPr fontId="10" type="noConversion"/>
  </si>
  <si>
    <t>M-411 &amp; M-412</t>
    <phoneticPr fontId="10" type="noConversion"/>
  </si>
  <si>
    <t>M-659 &amp; M-660</t>
    <phoneticPr fontId="10" type="noConversion"/>
  </si>
  <si>
    <t>T</t>
    <phoneticPr fontId="10" type="noConversion"/>
  </si>
  <si>
    <t>M-423</t>
    <phoneticPr fontId="10" type="noConversion"/>
  </si>
  <si>
    <t>M-426</t>
    <phoneticPr fontId="10" type="noConversion"/>
  </si>
  <si>
    <t>M-427</t>
    <phoneticPr fontId="10" type="noConversion"/>
  </si>
  <si>
    <t>M-428</t>
    <phoneticPr fontId="10" type="noConversion"/>
  </si>
  <si>
    <t>M-429</t>
    <phoneticPr fontId="10" type="noConversion"/>
  </si>
  <si>
    <t>M-430 &amp; M-431</t>
    <phoneticPr fontId="10" type="noConversion"/>
  </si>
  <si>
    <t>M-697</t>
    <phoneticPr fontId="10" type="noConversion"/>
  </si>
  <si>
    <t>UCM77165a+b</t>
    <phoneticPr fontId="10" type="noConversion"/>
  </si>
  <si>
    <t>Diptera(?)</t>
    <phoneticPr fontId="10" type="noConversion"/>
  </si>
  <si>
    <t>M-443 &amp; M-444</t>
    <phoneticPr fontId="10" type="noConversion"/>
  </si>
  <si>
    <t>M-445</t>
    <phoneticPr fontId="10" type="noConversion"/>
  </si>
  <si>
    <t>M-446</t>
    <phoneticPr fontId="10" type="noConversion"/>
  </si>
  <si>
    <t>M-447</t>
    <phoneticPr fontId="10" type="noConversion"/>
  </si>
  <si>
    <t>M-367 &amp; M-368</t>
    <phoneticPr fontId="10" type="noConversion"/>
  </si>
  <si>
    <t>UCM77168a+b</t>
    <phoneticPr fontId="10" type="noConversion"/>
  </si>
  <si>
    <t>M-667 &amp; M-668</t>
    <phoneticPr fontId="10" type="noConversion"/>
  </si>
  <si>
    <t>H+T+W</t>
    <phoneticPr fontId="10" type="noConversion"/>
  </si>
  <si>
    <t>M-409 &amp; M-410</t>
    <phoneticPr fontId="10" type="noConversion"/>
  </si>
  <si>
    <t>Brachycera</t>
    <phoneticPr fontId="10" type="noConversion"/>
  </si>
  <si>
    <t>Braconidae</t>
    <phoneticPr fontId="10" type="noConversion"/>
  </si>
  <si>
    <t>DV</t>
    <phoneticPr fontId="10" type="noConversion"/>
  </si>
  <si>
    <t>H+T+W+A</t>
    <phoneticPr fontId="10" type="noConversion"/>
  </si>
  <si>
    <t>Hemiptera(?)</t>
    <phoneticPr fontId="10" type="noConversion"/>
  </si>
  <si>
    <t>Coleoptera</t>
    <phoneticPr fontId="10" type="noConversion"/>
  </si>
  <si>
    <t>DV</t>
    <phoneticPr fontId="10" type="noConversion"/>
  </si>
  <si>
    <t>UCM72662</t>
    <phoneticPr fontId="10" type="noConversion"/>
  </si>
  <si>
    <t>UCM72663</t>
    <phoneticPr fontId="10" type="noConversion"/>
  </si>
  <si>
    <t>UCM76090</t>
    <phoneticPr fontId="10" type="noConversion"/>
  </si>
  <si>
    <t>UCM76091</t>
    <phoneticPr fontId="10" type="noConversion"/>
  </si>
  <si>
    <t>Measurements based on M-295</t>
    <phoneticPr fontId="10" type="noConversion"/>
  </si>
  <si>
    <t>UCM76077</t>
    <phoneticPr fontId="10" type="noConversion"/>
  </si>
  <si>
    <t>L, W</t>
    <phoneticPr fontId="10" type="noConversion"/>
  </si>
  <si>
    <t>UCM72661</t>
    <phoneticPr fontId="10" type="noConversion"/>
  </si>
  <si>
    <t>Hymenoptera</t>
    <phoneticPr fontId="10" type="noConversion"/>
  </si>
  <si>
    <t>H+T+W+A</t>
    <phoneticPr fontId="10" type="noConversion"/>
  </si>
  <si>
    <t>Scale based on M-108; body terminus unclear, so used the wing tips for length</t>
    <phoneticPr fontId="10" type="noConversion"/>
  </si>
  <si>
    <t>L</t>
    <phoneticPr fontId="10" type="noConversion"/>
  </si>
  <si>
    <t>T</t>
    <phoneticPr fontId="10" type="noConversion"/>
  </si>
  <si>
    <t>Diptera(?)</t>
    <phoneticPr fontId="10" type="noConversion"/>
  </si>
  <si>
    <t>M-391</t>
    <phoneticPr fontId="10" type="noConversion"/>
  </si>
  <si>
    <t>M-392</t>
    <phoneticPr fontId="10" type="noConversion"/>
  </si>
  <si>
    <t>M-393</t>
    <phoneticPr fontId="10" type="noConversion"/>
  </si>
  <si>
    <t>M-394</t>
    <phoneticPr fontId="10" type="noConversion"/>
  </si>
  <si>
    <t>M-395</t>
    <phoneticPr fontId="10" type="noConversion"/>
  </si>
  <si>
    <t>M-681 &amp; M-682</t>
    <phoneticPr fontId="10" type="noConversion"/>
  </si>
  <si>
    <t>T</t>
    <phoneticPr fontId="10" type="noConversion"/>
  </si>
  <si>
    <t>M-681 &amp; M-682</t>
    <phoneticPr fontId="10" type="noConversion"/>
  </si>
  <si>
    <t>M-346</t>
    <phoneticPr fontId="10" type="noConversion"/>
  </si>
  <si>
    <t>M-347</t>
    <phoneticPr fontId="10" type="noConversion"/>
  </si>
  <si>
    <t>Measurements based on M-372</t>
    <phoneticPr fontId="10" type="noConversion"/>
  </si>
  <si>
    <t>M-372 &amp; M-373</t>
    <phoneticPr fontId="10" type="noConversion"/>
  </si>
  <si>
    <t>M-398 &amp; M-399</t>
    <phoneticPr fontId="10" type="noConversion"/>
  </si>
  <si>
    <t>M-400 &amp; M-401</t>
    <phoneticPr fontId="10" type="noConversion"/>
  </si>
  <si>
    <t>M-402 &amp; M-403</t>
    <phoneticPr fontId="10" type="noConversion"/>
  </si>
  <si>
    <t>M-404</t>
    <phoneticPr fontId="10" type="noConversion"/>
  </si>
  <si>
    <t>UCM76085</t>
    <phoneticPr fontId="10" type="noConversion"/>
  </si>
  <si>
    <t>Bibionoidae</t>
    <phoneticPr fontId="10" type="noConversion"/>
  </si>
  <si>
    <t>Based on the wing, the only decently-sized part preserved</t>
    <phoneticPr fontId="10" type="noConversion"/>
  </si>
  <si>
    <t>M-683 &amp; M-684</t>
    <phoneticPr fontId="10" type="noConversion"/>
  </si>
  <si>
    <t>UCM76069</t>
    <phoneticPr fontId="10" type="noConversion"/>
  </si>
  <si>
    <t>UCM76070</t>
    <phoneticPr fontId="10" type="noConversion"/>
  </si>
  <si>
    <t>UCM76072</t>
    <phoneticPr fontId="10" type="noConversion"/>
  </si>
  <si>
    <t>UCM76073</t>
    <phoneticPr fontId="10" type="noConversion"/>
  </si>
  <si>
    <t>UCM76043a+b</t>
    <phoneticPr fontId="10" type="noConversion"/>
  </si>
  <si>
    <t>UCM76044a+b</t>
    <phoneticPr fontId="10" type="noConversion"/>
  </si>
  <si>
    <t>UCM76045a+b</t>
    <phoneticPr fontId="10" type="noConversion"/>
  </si>
  <si>
    <t>UCM76046a+b</t>
    <phoneticPr fontId="10" type="noConversion"/>
  </si>
  <si>
    <t>UCM76047a+b</t>
    <phoneticPr fontId="10" type="noConversion"/>
  </si>
  <si>
    <t>Auchenorrhyncha(?)</t>
    <phoneticPr fontId="10" type="noConversion"/>
  </si>
  <si>
    <t>L</t>
    <phoneticPr fontId="10" type="noConversion"/>
  </si>
  <si>
    <t>Araneae</t>
    <phoneticPr fontId="10" type="noConversion"/>
  </si>
  <si>
    <t>UCM76093</t>
    <phoneticPr fontId="10" type="noConversion"/>
  </si>
  <si>
    <t>M-415 &amp; M-416</t>
    <phoneticPr fontId="10" type="noConversion"/>
  </si>
  <si>
    <t>M-417 to M-422</t>
    <phoneticPr fontId="10" type="noConversion"/>
  </si>
  <si>
    <t>M-436 &amp; M-437</t>
    <phoneticPr fontId="10" type="noConversion"/>
  </si>
  <si>
    <t>M-659 &amp; M-660</t>
    <phoneticPr fontId="10" type="noConversion"/>
  </si>
  <si>
    <t>L</t>
    <phoneticPr fontId="10" type="noConversion"/>
  </si>
  <si>
    <t>UCM77166a+b</t>
    <phoneticPr fontId="10" type="noConversion"/>
  </si>
  <si>
    <t>Insecta</t>
    <phoneticPr fontId="10" type="noConversion"/>
  </si>
  <si>
    <t>M-441 &amp; M-442</t>
    <phoneticPr fontId="10" type="noConversion"/>
  </si>
  <si>
    <t>UCM76096</t>
    <phoneticPr fontId="10" type="noConversion"/>
  </si>
  <si>
    <t>M-369 &amp; M-370</t>
    <phoneticPr fontId="10" type="noConversion"/>
  </si>
  <si>
    <t>M-371</t>
    <phoneticPr fontId="10" type="noConversion"/>
  </si>
  <si>
    <t>M-374</t>
    <phoneticPr fontId="10" type="noConversion"/>
  </si>
  <si>
    <t>M-375</t>
    <phoneticPr fontId="10" type="noConversion"/>
  </si>
  <si>
    <t>M-376</t>
    <phoneticPr fontId="10" type="noConversion"/>
  </si>
  <si>
    <t>M-377 &amp; M-378</t>
    <phoneticPr fontId="10" type="noConversion"/>
  </si>
  <si>
    <t>M-379 &amp; M-380</t>
    <phoneticPr fontId="10" type="noConversion"/>
  </si>
  <si>
    <t>M-381 &amp; M-382</t>
    <phoneticPr fontId="10" type="noConversion"/>
  </si>
  <si>
    <t>M-383</t>
    <phoneticPr fontId="10" type="noConversion"/>
  </si>
  <si>
    <t>Heteroptera(?)</t>
    <phoneticPr fontId="10" type="noConversion"/>
  </si>
  <si>
    <t>M-665 &amp; M-666</t>
    <phoneticPr fontId="10" type="noConversion"/>
  </si>
  <si>
    <t>UCM77169a+b</t>
    <phoneticPr fontId="10" type="noConversion"/>
  </si>
  <si>
    <t>Formicidae</t>
    <phoneticPr fontId="10" type="noConversion"/>
  </si>
  <si>
    <t>UCM76097</t>
    <phoneticPr fontId="10" type="noConversion"/>
  </si>
  <si>
    <t>H+T</t>
    <phoneticPr fontId="10" type="noConversion"/>
  </si>
  <si>
    <t>Tipuloidea</t>
    <phoneticPr fontId="10" type="noConversion"/>
  </si>
  <si>
    <t>M-384</t>
    <phoneticPr fontId="10" type="noConversion"/>
  </si>
  <si>
    <t>UCM76099</t>
    <phoneticPr fontId="10" type="noConversion"/>
  </si>
  <si>
    <t>Coleoptera</t>
    <phoneticPr fontId="10" type="noConversion"/>
  </si>
  <si>
    <t>E+A</t>
    <phoneticPr fontId="10" type="noConversion"/>
  </si>
  <si>
    <t>UCM76083</t>
    <phoneticPr fontId="10" type="noConversion"/>
  </si>
  <si>
    <t>UCM76003</t>
    <phoneticPr fontId="10" type="noConversion"/>
  </si>
  <si>
    <t>Auchenorrhyncha</t>
    <phoneticPr fontId="10" type="noConversion"/>
  </si>
  <si>
    <t>Mordellidae(?)</t>
    <phoneticPr fontId="10" type="noConversion"/>
  </si>
  <si>
    <t>UCM72614</t>
    <phoneticPr fontId="10" type="noConversion"/>
  </si>
  <si>
    <t>L</t>
    <phoneticPr fontId="10" type="noConversion"/>
  </si>
  <si>
    <t>L</t>
    <phoneticPr fontId="10" type="noConversion"/>
  </si>
  <si>
    <t>H+T+W+A</t>
    <phoneticPr fontId="10" type="noConversion"/>
  </si>
  <si>
    <t>UCM72626a+b</t>
    <phoneticPr fontId="10" type="noConversion"/>
  </si>
  <si>
    <t>T</t>
    <phoneticPr fontId="10" type="noConversion"/>
  </si>
  <si>
    <t>H+T+W+A</t>
    <phoneticPr fontId="10" type="noConversion"/>
  </si>
  <si>
    <t>UCM72680</t>
    <phoneticPr fontId="10" type="noConversion"/>
  </si>
  <si>
    <t>T</t>
    <phoneticPr fontId="10" type="noConversion"/>
  </si>
  <si>
    <t>UCM76022</t>
    <phoneticPr fontId="10" type="noConversion"/>
  </si>
  <si>
    <t>UCM76023</t>
    <phoneticPr fontId="10" type="noConversion"/>
  </si>
  <si>
    <t>Auchenorrhyncha</t>
    <phoneticPr fontId="10" type="noConversion"/>
  </si>
  <si>
    <t>L</t>
    <phoneticPr fontId="10" type="noConversion"/>
  </si>
  <si>
    <t>UCM76024</t>
    <phoneticPr fontId="10" type="noConversion"/>
  </si>
  <si>
    <t>UCM76025</t>
    <phoneticPr fontId="10" type="noConversion"/>
  </si>
  <si>
    <t>L</t>
    <phoneticPr fontId="10" type="noConversion"/>
  </si>
  <si>
    <t>Measurements based on M-296</t>
    <phoneticPr fontId="10" type="noConversion"/>
  </si>
  <si>
    <t>Measurements based on M-273</t>
    <phoneticPr fontId="10" type="noConversion"/>
  </si>
  <si>
    <t>Insecta</t>
    <phoneticPr fontId="10" type="noConversion"/>
  </si>
  <si>
    <t>UCM76078</t>
    <phoneticPr fontId="10" type="noConversion"/>
  </si>
  <si>
    <t>M-348</t>
    <phoneticPr fontId="10" type="noConversion"/>
  </si>
  <si>
    <t>M-349</t>
    <phoneticPr fontId="10" type="noConversion"/>
  </si>
  <si>
    <t>M-350</t>
    <phoneticPr fontId="10" type="noConversion"/>
  </si>
  <si>
    <t>M-351</t>
    <phoneticPr fontId="10" type="noConversion"/>
  </si>
  <si>
    <t>M-352</t>
    <phoneticPr fontId="10" type="noConversion"/>
  </si>
  <si>
    <t>M-353</t>
    <phoneticPr fontId="10" type="noConversion"/>
  </si>
  <si>
    <t>M-354</t>
    <phoneticPr fontId="10" type="noConversion"/>
  </si>
  <si>
    <t>A, L</t>
    <phoneticPr fontId="10" type="noConversion"/>
  </si>
  <si>
    <t>Orthoptera</t>
    <phoneticPr fontId="10" type="noConversion"/>
  </si>
  <si>
    <t>Blattodea</t>
    <phoneticPr fontId="10" type="noConversion"/>
  </si>
  <si>
    <t>M-355 &amp; M-356</t>
    <phoneticPr fontId="10" type="noConversion"/>
  </si>
  <si>
    <t>M-357 &amp; M-358</t>
    <phoneticPr fontId="10" type="noConversion"/>
  </si>
  <si>
    <t>M-359 &amp; M-360</t>
    <phoneticPr fontId="10" type="noConversion"/>
  </si>
  <si>
    <t>M-361 &amp; M-362</t>
    <phoneticPr fontId="10" type="noConversion"/>
  </si>
  <si>
    <t>M-363 &amp; M-364</t>
    <phoneticPr fontId="10" type="noConversion"/>
  </si>
  <si>
    <t>M-365 &amp; M-366</t>
    <phoneticPr fontId="10" type="noConversion"/>
  </si>
  <si>
    <t>UCM72690a+b</t>
    <phoneticPr fontId="10" type="noConversion"/>
  </si>
  <si>
    <t>UCM76082</t>
    <phoneticPr fontId="10" type="noConversion"/>
  </si>
  <si>
    <t>UCM76068</t>
    <phoneticPr fontId="10" type="noConversion"/>
  </si>
  <si>
    <t>Blattodea</t>
    <phoneticPr fontId="10" type="noConversion"/>
  </si>
  <si>
    <t>A</t>
    <phoneticPr fontId="10" type="noConversion"/>
  </si>
  <si>
    <t>UCM76013a+b</t>
    <phoneticPr fontId="10" type="noConversion"/>
  </si>
  <si>
    <t>Auchenorrhyncha</t>
    <phoneticPr fontId="10" type="noConversion"/>
  </si>
  <si>
    <t>UCM76015a+b</t>
    <phoneticPr fontId="10" type="noConversion"/>
  </si>
  <si>
    <t>UCM76016a+b</t>
    <phoneticPr fontId="10" type="noConversion"/>
  </si>
  <si>
    <t>Flatidae(?)</t>
    <phoneticPr fontId="10" type="noConversion"/>
  </si>
  <si>
    <t>W, L</t>
    <phoneticPr fontId="10" type="noConversion"/>
  </si>
  <si>
    <t>UCM76014</t>
    <phoneticPr fontId="10" type="noConversion"/>
  </si>
  <si>
    <t>Insecta</t>
    <phoneticPr fontId="10" type="noConversion"/>
  </si>
  <si>
    <t>Coleoptera</t>
    <phoneticPr fontId="10" type="noConversion"/>
  </si>
  <si>
    <t>UCM72679</t>
    <phoneticPr fontId="10" type="noConversion"/>
  </si>
  <si>
    <t>L</t>
    <phoneticPr fontId="10" type="noConversion"/>
  </si>
  <si>
    <t>H+T+E</t>
    <phoneticPr fontId="10" type="noConversion"/>
  </si>
  <si>
    <t>UCM72664</t>
    <phoneticPr fontId="10" type="noConversion"/>
  </si>
  <si>
    <t>Diptera(?)</t>
    <phoneticPr fontId="10" type="noConversion"/>
  </si>
  <si>
    <t>L</t>
    <phoneticPr fontId="10" type="noConversion"/>
  </si>
  <si>
    <t>M-432 &amp; M-433</t>
    <phoneticPr fontId="10" type="noConversion"/>
  </si>
  <si>
    <t>M-434 &amp; M-435</t>
    <phoneticPr fontId="10" type="noConversion"/>
  </si>
  <si>
    <t>UCM76061a+b</t>
    <phoneticPr fontId="10" type="noConversion"/>
  </si>
  <si>
    <t>M-438</t>
    <phoneticPr fontId="10" type="noConversion"/>
  </si>
  <si>
    <t>M-661 &amp; M-662</t>
    <phoneticPr fontId="10" type="noConversion"/>
  </si>
  <si>
    <t>M-441 &amp; M-442</t>
    <phoneticPr fontId="10" type="noConversion"/>
  </si>
  <si>
    <t>M-439 &amp; M-440</t>
    <phoneticPr fontId="10" type="noConversion"/>
  </si>
  <si>
    <t>UCM76094</t>
    <phoneticPr fontId="10" type="noConversion"/>
  </si>
  <si>
    <t>UCM76095</t>
    <phoneticPr fontId="10" type="noConversion"/>
  </si>
  <si>
    <t>UCM76063</t>
    <phoneticPr fontId="10" type="noConversion"/>
  </si>
  <si>
    <t>UCM76064</t>
    <phoneticPr fontId="10" type="noConversion"/>
  </si>
  <si>
    <t>UCM76062</t>
    <phoneticPr fontId="10" type="noConversion"/>
  </si>
  <si>
    <t>UCM76035</t>
    <phoneticPr fontId="10" type="noConversion"/>
  </si>
  <si>
    <t>Heteroptera(?)</t>
    <phoneticPr fontId="10" type="noConversion"/>
  </si>
  <si>
    <t>UCM76008a+b</t>
    <phoneticPr fontId="10" type="noConversion"/>
  </si>
  <si>
    <t>UCM76036</t>
    <phoneticPr fontId="10" type="noConversion"/>
  </si>
  <si>
    <t>T+A</t>
    <phoneticPr fontId="10" type="noConversion"/>
  </si>
  <si>
    <t>UCM76065</t>
    <phoneticPr fontId="10" type="noConversion"/>
  </si>
  <si>
    <t>UCM76098</t>
    <phoneticPr fontId="10" type="noConversion"/>
  </si>
  <si>
    <t>H+T+A</t>
    <phoneticPr fontId="10" type="noConversion"/>
  </si>
  <si>
    <t>H+T+A</t>
    <phoneticPr fontId="10" type="noConversion"/>
  </si>
  <si>
    <t>T</t>
    <phoneticPr fontId="10" type="noConversion"/>
  </si>
  <si>
    <t>Bibionidae(?)</t>
    <phoneticPr fontId="10" type="noConversion"/>
  </si>
  <si>
    <t>UCM76054</t>
    <phoneticPr fontId="10" type="noConversion"/>
  </si>
  <si>
    <t>UCM76012</t>
    <phoneticPr fontId="10" type="noConversion"/>
  </si>
  <si>
    <t>Reduviidae(?)</t>
    <phoneticPr fontId="10" type="noConversion"/>
  </si>
  <si>
    <t>Diptera</t>
    <phoneticPr fontId="10" type="noConversion"/>
  </si>
  <si>
    <t>UCM72674</t>
    <phoneticPr fontId="10" type="noConversion"/>
  </si>
  <si>
    <t>Diptera</t>
    <phoneticPr fontId="10" type="noConversion"/>
  </si>
  <si>
    <t>T+A</t>
    <phoneticPr fontId="10" type="noConversion"/>
  </si>
  <si>
    <t>Arachnida(?)</t>
    <phoneticPr fontId="10" type="noConversion"/>
  </si>
  <si>
    <t>M-008</t>
    <phoneticPr fontId="10" type="noConversion"/>
  </si>
  <si>
    <t>TCS</t>
    <phoneticPr fontId="10" type="noConversion"/>
  </si>
  <si>
    <t>T</t>
    <phoneticPr fontId="10" type="noConversion"/>
  </si>
  <si>
    <t>10-11-B11-#1</t>
    <phoneticPr fontId="10" type="noConversion"/>
  </si>
  <si>
    <t>Coleoptera</t>
    <phoneticPr fontId="10" type="noConversion"/>
  </si>
  <si>
    <t>T+A</t>
    <phoneticPr fontId="10" type="noConversion"/>
  </si>
  <si>
    <t>10-11-B12-#1</t>
    <phoneticPr fontId="10" type="noConversion"/>
  </si>
  <si>
    <t>Coleoptera(?)</t>
    <phoneticPr fontId="10" type="noConversion"/>
  </si>
  <si>
    <t>DV</t>
    <phoneticPr fontId="10" type="noConversion"/>
  </si>
  <si>
    <t>H+T+A</t>
    <phoneticPr fontId="10" type="noConversion"/>
  </si>
  <si>
    <t>M-018</t>
    <phoneticPr fontId="10" type="noConversion"/>
  </si>
  <si>
    <t>M-019</t>
    <phoneticPr fontId="10" type="noConversion"/>
  </si>
  <si>
    <t>M-020</t>
    <phoneticPr fontId="10" type="noConversion"/>
  </si>
  <si>
    <t>M-021</t>
    <phoneticPr fontId="10" type="noConversion"/>
  </si>
  <si>
    <t>10-11-B13-#1</t>
    <phoneticPr fontId="10" type="noConversion"/>
  </si>
  <si>
    <t>H+T+A</t>
    <phoneticPr fontId="10" type="noConversion"/>
  </si>
  <si>
    <t>Insecta</t>
    <phoneticPr fontId="10" type="noConversion"/>
  </si>
  <si>
    <t>UCM76060a+b</t>
    <phoneticPr fontId="10" type="noConversion"/>
  </si>
  <si>
    <t>Heteroptera</t>
    <phoneticPr fontId="10" type="noConversion"/>
  </si>
  <si>
    <t>UCM76076</t>
    <phoneticPr fontId="10" type="noConversion"/>
  </si>
  <si>
    <t>Hymenoptera</t>
    <phoneticPr fontId="10" type="noConversion"/>
  </si>
  <si>
    <t>UCM76033a+b</t>
    <phoneticPr fontId="10" type="noConversion"/>
  </si>
  <si>
    <t>Hymenoptera</t>
    <phoneticPr fontId="10" type="noConversion"/>
  </si>
  <si>
    <t>UCM76034a+b</t>
    <phoneticPr fontId="10" type="noConversion"/>
  </si>
  <si>
    <t>Coleoptera</t>
    <phoneticPr fontId="10" type="noConversion"/>
  </si>
  <si>
    <t>UCM76079a+b</t>
    <phoneticPr fontId="10" type="noConversion"/>
  </si>
  <si>
    <t>UCM76080a+b</t>
    <phoneticPr fontId="10" type="noConversion"/>
  </si>
  <si>
    <t>UCM76081</t>
    <phoneticPr fontId="10" type="noConversion"/>
  </si>
  <si>
    <t>Achilidae(?)</t>
    <phoneticPr fontId="10" type="noConversion"/>
  </si>
  <si>
    <t>UCM76028</t>
    <phoneticPr fontId="10" type="noConversion"/>
  </si>
  <si>
    <t>UCM72676</t>
    <phoneticPr fontId="10" type="noConversion"/>
  </si>
  <si>
    <t>UCM72677</t>
    <phoneticPr fontId="10" type="noConversion"/>
  </si>
  <si>
    <t>Hymenoptera(?)</t>
    <phoneticPr fontId="10" type="noConversion"/>
  </si>
  <si>
    <t>UCM72678</t>
    <phoneticPr fontId="10" type="noConversion"/>
  </si>
  <si>
    <t>E</t>
    <phoneticPr fontId="10" type="noConversion"/>
  </si>
  <si>
    <t>UCM72620</t>
    <phoneticPr fontId="10" type="noConversion"/>
  </si>
  <si>
    <t>UCM76074</t>
    <phoneticPr fontId="10" type="noConversion"/>
  </si>
  <si>
    <t>Cixiidae(?)</t>
    <phoneticPr fontId="10" type="noConversion"/>
  </si>
  <si>
    <t>10-11-B31-#2</t>
    <phoneticPr fontId="10" type="noConversion"/>
  </si>
  <si>
    <t>Measurements based on M-94 to M-97</t>
    <phoneticPr fontId="10" type="noConversion"/>
  </si>
  <si>
    <t>UCM72609</t>
    <phoneticPr fontId="10" type="noConversion"/>
  </si>
  <si>
    <t>Staphylinidae</t>
    <phoneticPr fontId="10" type="noConversion"/>
  </si>
  <si>
    <t>Curculionoidea</t>
    <phoneticPr fontId="10" type="noConversion"/>
  </si>
  <si>
    <t>L</t>
    <phoneticPr fontId="10" type="noConversion"/>
  </si>
  <si>
    <t>UCM76049a+b</t>
    <phoneticPr fontId="10" type="noConversion"/>
  </si>
  <si>
    <t>Bibionidae</t>
    <phoneticPr fontId="10" type="noConversion"/>
  </si>
  <si>
    <t>UCM76050a+b</t>
    <phoneticPr fontId="10" type="noConversion"/>
  </si>
  <si>
    <t>Tipuloidea</t>
    <phoneticPr fontId="10" type="noConversion"/>
  </si>
  <si>
    <t>UCM76018</t>
    <phoneticPr fontId="10" type="noConversion"/>
  </si>
  <si>
    <t>UCM76051</t>
    <phoneticPr fontId="10" type="noConversion"/>
  </si>
  <si>
    <t>UCM72667</t>
    <phoneticPr fontId="10" type="noConversion"/>
  </si>
  <si>
    <t>Arachnida</t>
    <phoneticPr fontId="10" type="noConversion"/>
  </si>
  <si>
    <t>L(?)</t>
    <phoneticPr fontId="10" type="noConversion"/>
  </si>
  <si>
    <t>UCM76019</t>
    <phoneticPr fontId="10" type="noConversion"/>
  </si>
  <si>
    <t>UCM76021</t>
    <phoneticPr fontId="10" type="noConversion"/>
  </si>
  <si>
    <t>UCM76037</t>
    <phoneticPr fontId="10" type="noConversion"/>
  </si>
  <si>
    <t>L</t>
    <phoneticPr fontId="10" type="noConversion"/>
  </si>
  <si>
    <t>UCM76038a+b</t>
    <phoneticPr fontId="10" type="noConversion"/>
  </si>
  <si>
    <t>UCM76066</t>
    <phoneticPr fontId="10" type="noConversion"/>
  </si>
  <si>
    <t>UCM76039a+b</t>
    <phoneticPr fontId="10" type="noConversion"/>
  </si>
  <si>
    <t>Cicadellidae</t>
    <phoneticPr fontId="10" type="noConversion"/>
  </si>
  <si>
    <t>O</t>
    <phoneticPr fontId="10" type="noConversion"/>
  </si>
  <si>
    <t>H+T+W+A</t>
    <phoneticPr fontId="10" type="noConversion"/>
  </si>
  <si>
    <t>UCM76040a+b</t>
    <phoneticPr fontId="10" type="noConversion"/>
  </si>
  <si>
    <t>Diptera</t>
    <phoneticPr fontId="10" type="noConversion"/>
  </si>
  <si>
    <t>UCM76041</t>
    <phoneticPr fontId="10" type="noConversion"/>
  </si>
  <si>
    <t>Diptera(?)</t>
    <phoneticPr fontId="10" type="noConversion"/>
  </si>
  <si>
    <t>UCM76011</t>
    <phoneticPr fontId="10" type="noConversion"/>
  </si>
  <si>
    <t>Bibionidae</t>
    <phoneticPr fontId="10" type="noConversion"/>
  </si>
  <si>
    <t>UCM72660</t>
    <phoneticPr fontId="10" type="noConversion"/>
  </si>
  <si>
    <t>Mordellidae(?)</t>
    <phoneticPr fontId="10" type="noConversion"/>
  </si>
  <si>
    <t>H+T+W+A</t>
    <phoneticPr fontId="10" type="noConversion"/>
  </si>
  <si>
    <t>Coleoptera(?)</t>
    <phoneticPr fontId="10" type="noConversion"/>
  </si>
  <si>
    <t>T+A</t>
    <phoneticPr fontId="10" type="noConversion"/>
  </si>
  <si>
    <t>E</t>
    <phoneticPr fontId="10" type="noConversion"/>
  </si>
  <si>
    <t>H+T+W+A</t>
    <phoneticPr fontId="10" type="noConversion"/>
  </si>
  <si>
    <t>Scale based on M-103</t>
    <phoneticPr fontId="10" type="noConversion"/>
  </si>
  <si>
    <t>H+T+W+A</t>
    <phoneticPr fontId="10" type="noConversion"/>
  </si>
  <si>
    <t>UCM72611</t>
    <phoneticPr fontId="10" type="noConversion"/>
  </si>
  <si>
    <t>M-038</t>
    <phoneticPr fontId="10" type="noConversion"/>
  </si>
  <si>
    <t>UCM72617</t>
    <phoneticPr fontId="10" type="noConversion"/>
  </si>
  <si>
    <t>T+A</t>
    <phoneticPr fontId="10" type="noConversion"/>
  </si>
  <si>
    <t>M-069</t>
    <phoneticPr fontId="10" type="noConversion"/>
  </si>
  <si>
    <t>H+T+A</t>
    <phoneticPr fontId="10" type="noConversion"/>
  </si>
  <si>
    <t>UCM72612</t>
    <phoneticPr fontId="10" type="noConversion"/>
  </si>
  <si>
    <t>T+W+A</t>
    <phoneticPr fontId="10" type="noConversion"/>
  </si>
  <si>
    <t>UCM76004</t>
    <phoneticPr fontId="10" type="noConversion"/>
  </si>
  <si>
    <t>Coleoptera</t>
    <phoneticPr fontId="10" type="noConversion"/>
  </si>
  <si>
    <t>Diptera</t>
    <phoneticPr fontId="10" type="noConversion"/>
  </si>
  <si>
    <t>H+T+A</t>
    <phoneticPr fontId="10" type="noConversion"/>
  </si>
  <si>
    <t>10-11-B54-#2</t>
    <phoneticPr fontId="10" type="noConversion"/>
  </si>
  <si>
    <t>10-11-B33-#2</t>
    <phoneticPr fontId="10" type="noConversion"/>
  </si>
  <si>
    <t>UCM72613</t>
    <phoneticPr fontId="10" type="noConversion"/>
  </si>
  <si>
    <t>Insecta</t>
    <phoneticPr fontId="10" type="noConversion"/>
  </si>
  <si>
    <t>W</t>
    <phoneticPr fontId="10" type="noConversion"/>
  </si>
  <si>
    <t>Staphylinidae</t>
    <phoneticPr fontId="10" type="noConversion"/>
  </si>
  <si>
    <t>UCM72616</t>
    <phoneticPr fontId="10" type="noConversion"/>
  </si>
  <si>
    <t>M-084</t>
    <phoneticPr fontId="10" type="noConversion"/>
  </si>
  <si>
    <t>H+T+A</t>
    <phoneticPr fontId="10" type="noConversion"/>
  </si>
  <si>
    <t>T</t>
    <phoneticPr fontId="10" type="noConversion"/>
  </si>
  <si>
    <t>10-11-B56-#1</t>
    <phoneticPr fontId="10" type="noConversion"/>
  </si>
  <si>
    <t>T+W+A</t>
    <phoneticPr fontId="10" type="noConversion"/>
  </si>
  <si>
    <t>UCM72655</t>
    <phoneticPr fontId="10" type="noConversion"/>
  </si>
  <si>
    <t>Diptera</t>
    <phoneticPr fontId="10" type="noConversion"/>
  </si>
  <si>
    <t>L</t>
    <phoneticPr fontId="10" type="noConversion"/>
  </si>
  <si>
    <t>H+T+A</t>
    <phoneticPr fontId="10" type="noConversion"/>
  </si>
  <si>
    <t>UCM72675</t>
    <phoneticPr fontId="10" type="noConversion"/>
  </si>
  <si>
    <t>10-11-B50-#2</t>
    <phoneticPr fontId="10" type="noConversion"/>
  </si>
  <si>
    <t>M-059</t>
    <phoneticPr fontId="10" type="noConversion"/>
  </si>
  <si>
    <t>UCM72654</t>
    <phoneticPr fontId="10" type="noConversion"/>
  </si>
  <si>
    <t>Heteroptera</t>
    <phoneticPr fontId="10" type="noConversion"/>
  </si>
  <si>
    <t>DV</t>
    <phoneticPr fontId="10" type="noConversion"/>
  </si>
  <si>
    <t>H+T+A</t>
    <phoneticPr fontId="10" type="noConversion"/>
  </si>
  <si>
    <t>T</t>
    <phoneticPr fontId="10" type="noConversion"/>
  </si>
  <si>
    <t>10-11-B50-#3</t>
    <phoneticPr fontId="10" type="noConversion"/>
  </si>
  <si>
    <t>Hymenoptera</t>
    <phoneticPr fontId="10" type="noConversion"/>
  </si>
  <si>
    <t>M-077</t>
    <phoneticPr fontId="10" type="noConversion"/>
  </si>
  <si>
    <t>H+T+A(?)</t>
    <phoneticPr fontId="10" type="noConversion"/>
  </si>
  <si>
    <t>DV</t>
    <phoneticPr fontId="10" type="noConversion"/>
  </si>
  <si>
    <t>H+T+A</t>
    <phoneticPr fontId="10" type="noConversion"/>
  </si>
  <si>
    <t>UCM72665</t>
    <phoneticPr fontId="10" type="noConversion"/>
  </si>
  <si>
    <t>Carabidae(?)</t>
    <phoneticPr fontId="10" type="noConversion"/>
  </si>
  <si>
    <t>H+T+W+A</t>
    <phoneticPr fontId="10" type="noConversion"/>
  </si>
  <si>
    <t>W</t>
    <phoneticPr fontId="10" type="noConversion"/>
  </si>
  <si>
    <t>Sternorrhyncha</t>
    <phoneticPr fontId="10" type="noConversion"/>
  </si>
  <si>
    <t>H+T+W</t>
    <phoneticPr fontId="10" type="noConversion"/>
  </si>
  <si>
    <t>UCM76075</t>
    <phoneticPr fontId="10" type="noConversion"/>
  </si>
  <si>
    <t>UCM72666</t>
    <phoneticPr fontId="10" type="noConversion"/>
  </si>
  <si>
    <t>UCM76020</t>
    <phoneticPr fontId="10" type="noConversion"/>
  </si>
  <si>
    <t>Coleoptera</t>
    <phoneticPr fontId="10" type="noConversion"/>
  </si>
  <si>
    <t>H+T+E</t>
    <phoneticPr fontId="10" type="noConversion"/>
  </si>
  <si>
    <t>T</t>
    <phoneticPr fontId="10" type="noConversion"/>
  </si>
  <si>
    <t>Curculionoidea</t>
    <phoneticPr fontId="10" type="noConversion"/>
  </si>
  <si>
    <t>UCM76007</t>
    <phoneticPr fontId="10" type="noConversion"/>
  </si>
  <si>
    <t>Curculionoidea</t>
    <phoneticPr fontId="10" type="noConversion"/>
  </si>
  <si>
    <t>Hymenoptera(?)</t>
    <phoneticPr fontId="10" type="noConversion"/>
  </si>
  <si>
    <t>UCM76009</t>
    <phoneticPr fontId="10" type="noConversion"/>
  </si>
  <si>
    <t>Heteroptera</t>
    <phoneticPr fontId="10" type="noConversion"/>
  </si>
  <si>
    <t>UCM76010</t>
    <phoneticPr fontId="10" type="noConversion"/>
  </si>
  <si>
    <t>Cicadellidae(?)</t>
    <phoneticPr fontId="10" type="noConversion"/>
  </si>
  <si>
    <t>UCM72656</t>
    <phoneticPr fontId="10" type="noConversion"/>
  </si>
  <si>
    <t>L</t>
    <phoneticPr fontId="10" type="noConversion"/>
  </si>
  <si>
    <t>UCM72657</t>
    <phoneticPr fontId="10" type="noConversion"/>
  </si>
  <si>
    <t>L</t>
    <phoneticPr fontId="10" type="noConversion"/>
  </si>
  <si>
    <t>UCM72658</t>
    <phoneticPr fontId="10" type="noConversion"/>
  </si>
  <si>
    <t>H+T+W+A</t>
    <phoneticPr fontId="10" type="noConversion"/>
  </si>
  <si>
    <t>UCM72659</t>
    <phoneticPr fontId="10" type="noConversion"/>
  </si>
  <si>
    <t>Culicidae</t>
    <phoneticPr fontId="10" type="noConversion"/>
  </si>
  <si>
    <t>M-040</t>
    <phoneticPr fontId="10" type="noConversion"/>
  </si>
  <si>
    <t>A</t>
    <phoneticPr fontId="10" type="noConversion"/>
  </si>
  <si>
    <t>UCM72625</t>
    <phoneticPr fontId="10" type="noConversion"/>
  </si>
  <si>
    <t>Heteroptera</t>
    <phoneticPr fontId="10" type="noConversion"/>
  </si>
  <si>
    <t>DV</t>
    <phoneticPr fontId="10" type="noConversion"/>
  </si>
  <si>
    <t>H+T+A</t>
    <phoneticPr fontId="10" type="noConversion"/>
  </si>
  <si>
    <t>Orthoptera(?)</t>
    <phoneticPr fontId="10" type="noConversion"/>
  </si>
  <si>
    <t>M-041</t>
    <phoneticPr fontId="10" type="noConversion"/>
  </si>
  <si>
    <t>W</t>
    <phoneticPr fontId="10" type="noConversion"/>
  </si>
  <si>
    <t>10-11-B31-#3</t>
    <phoneticPr fontId="10" type="noConversion"/>
  </si>
  <si>
    <t>M-068</t>
    <phoneticPr fontId="10" type="noConversion"/>
  </si>
  <si>
    <t>10-11-B31-#5</t>
    <phoneticPr fontId="10" type="noConversion"/>
  </si>
  <si>
    <t>M-063 &amp; M-065</t>
    <phoneticPr fontId="10" type="noConversion"/>
  </si>
  <si>
    <t>Hymenoptera</t>
    <phoneticPr fontId="10" type="noConversion"/>
  </si>
  <si>
    <t>Insecta</t>
    <phoneticPr fontId="10" type="noConversion"/>
  </si>
  <si>
    <t>UCM76032a+b</t>
    <phoneticPr fontId="10" type="noConversion"/>
  </si>
  <si>
    <t>L</t>
    <phoneticPr fontId="10" type="noConversion"/>
  </si>
  <si>
    <t>Staphylinidae</t>
    <phoneticPr fontId="10" type="noConversion"/>
  </si>
  <si>
    <t>10-11-B10-#2</t>
    <phoneticPr fontId="10" type="noConversion"/>
  </si>
  <si>
    <t>M-028</t>
    <phoneticPr fontId="10" type="noConversion"/>
  </si>
  <si>
    <t>L</t>
    <phoneticPr fontId="10" type="noConversion"/>
  </si>
  <si>
    <t>T+A</t>
    <phoneticPr fontId="10" type="noConversion"/>
  </si>
  <si>
    <t>UCM72615</t>
    <phoneticPr fontId="10" type="noConversion"/>
  </si>
  <si>
    <t>UCM72672</t>
    <phoneticPr fontId="10" type="noConversion"/>
  </si>
  <si>
    <t>T</t>
    <phoneticPr fontId="10" type="noConversion"/>
  </si>
  <si>
    <t>Length does not include nodulose anterior portion</t>
    <phoneticPr fontId="10" type="noConversion"/>
  </si>
  <si>
    <t>10-11-B20-#6</t>
    <phoneticPr fontId="10" type="noConversion"/>
  </si>
  <si>
    <t>Curculionidae</t>
    <phoneticPr fontId="10" type="noConversion"/>
  </si>
  <si>
    <t>M-032</t>
    <phoneticPr fontId="10" type="noConversion"/>
  </si>
  <si>
    <t>H+T(?)</t>
    <phoneticPr fontId="10" type="noConversion"/>
  </si>
  <si>
    <t>10-11-B14-#2</t>
    <phoneticPr fontId="10" type="noConversion"/>
  </si>
  <si>
    <t>Heteroptera(?)</t>
    <phoneticPr fontId="10" type="noConversion"/>
  </si>
  <si>
    <t>M-064</t>
    <phoneticPr fontId="10" type="noConversion"/>
  </si>
  <si>
    <t>T, T+A</t>
    <phoneticPr fontId="10" type="noConversion"/>
  </si>
  <si>
    <t>Curculionoidea(?)</t>
    <phoneticPr fontId="10" type="noConversion"/>
  </si>
  <si>
    <t>E, A</t>
    <phoneticPr fontId="10" type="noConversion"/>
  </si>
  <si>
    <t>10-11-B6-#1</t>
    <phoneticPr fontId="10" type="noConversion"/>
  </si>
  <si>
    <t>10-11-B35-#4</t>
    <phoneticPr fontId="10" type="noConversion"/>
  </si>
  <si>
    <t>Curculionidae</t>
    <phoneticPr fontId="10" type="noConversion"/>
  </si>
  <si>
    <t>M-004</t>
    <phoneticPr fontId="10" type="noConversion"/>
  </si>
  <si>
    <t>L</t>
    <phoneticPr fontId="10" type="noConversion"/>
  </si>
  <si>
    <t>M-057</t>
    <phoneticPr fontId="10" type="noConversion"/>
  </si>
  <si>
    <t>10-11-B50-#1</t>
    <phoneticPr fontId="10" type="noConversion"/>
  </si>
  <si>
    <t>M-058</t>
    <phoneticPr fontId="10" type="noConversion"/>
  </si>
  <si>
    <t>M-067</t>
    <phoneticPr fontId="10" type="noConversion"/>
  </si>
  <si>
    <t>10-11-B59-#2</t>
    <phoneticPr fontId="10" type="noConversion"/>
  </si>
  <si>
    <t>M-053</t>
    <phoneticPr fontId="10" type="noConversion"/>
  </si>
  <si>
    <t>10-11-B59-#3</t>
    <phoneticPr fontId="10" type="noConversion"/>
  </si>
  <si>
    <t>M-111 to M-114 (centered on 3.0mm), M-115 (centered on 0 mm), and M-117 &amp; M-118 (centered on 1.0mm) are scaling photos</t>
    <phoneticPr fontId="10" type="noConversion"/>
  </si>
  <si>
    <t>L</t>
    <phoneticPr fontId="10" type="noConversion"/>
  </si>
  <si>
    <t>10-11-B59-#4</t>
    <phoneticPr fontId="10" type="noConversion"/>
  </si>
  <si>
    <t>M-055</t>
    <phoneticPr fontId="10" type="noConversion"/>
  </si>
  <si>
    <t>H+T</t>
    <phoneticPr fontId="10" type="noConversion"/>
  </si>
  <si>
    <t>10-11-B35-#2</t>
    <phoneticPr fontId="10" type="noConversion"/>
  </si>
  <si>
    <t>M-076</t>
    <phoneticPr fontId="10" type="noConversion"/>
  </si>
  <si>
    <t>DV</t>
    <phoneticPr fontId="10" type="noConversion"/>
  </si>
  <si>
    <t>H+T+A</t>
    <phoneticPr fontId="10" type="noConversion"/>
  </si>
  <si>
    <t>M-050</t>
    <phoneticPr fontId="10" type="noConversion"/>
  </si>
  <si>
    <t>DV(?)</t>
    <phoneticPr fontId="10" type="noConversion"/>
  </si>
  <si>
    <t>UCM72610</t>
    <phoneticPr fontId="10" type="noConversion"/>
  </si>
  <si>
    <t>10-11-B9-#2</t>
    <phoneticPr fontId="10" type="noConversion"/>
  </si>
  <si>
    <t>M-006</t>
    <phoneticPr fontId="10" type="noConversion"/>
  </si>
  <si>
    <t>UCM76017</t>
    <phoneticPr fontId="10" type="noConversion"/>
  </si>
  <si>
    <t>Curculionoidea</t>
    <phoneticPr fontId="10" type="noConversion"/>
  </si>
  <si>
    <t>Carabidae</t>
    <phoneticPr fontId="10" type="noConversion"/>
  </si>
  <si>
    <t>DV</t>
    <phoneticPr fontId="10" type="noConversion"/>
  </si>
  <si>
    <t>H+T+A</t>
    <phoneticPr fontId="10" type="noConversion"/>
  </si>
  <si>
    <t>M-105 to M-109</t>
    <phoneticPr fontId="10" type="noConversion"/>
  </si>
  <si>
    <t>H+T+W+A</t>
    <phoneticPr fontId="10" type="noConversion"/>
  </si>
  <si>
    <t>M-001</t>
    <phoneticPr fontId="10" type="noConversion"/>
  </si>
  <si>
    <t>M-002</t>
    <phoneticPr fontId="10" type="noConversion"/>
  </si>
  <si>
    <t>UCM72624</t>
    <phoneticPr fontId="10" type="noConversion"/>
  </si>
  <si>
    <t>Coleoptera</t>
    <phoneticPr fontId="10" type="noConversion"/>
  </si>
  <si>
    <t>UCM72668</t>
    <phoneticPr fontId="10" type="noConversion"/>
  </si>
  <si>
    <t>Diptera(?)</t>
    <phoneticPr fontId="10" type="noConversion"/>
  </si>
  <si>
    <t>DV(?)</t>
    <phoneticPr fontId="10" type="noConversion"/>
  </si>
  <si>
    <t>UCM76001</t>
    <phoneticPr fontId="10" type="noConversion"/>
  </si>
  <si>
    <t>Abdomen Quality</t>
    <phoneticPr fontId="10" type="noConversion"/>
  </si>
  <si>
    <t>DV+L(?)</t>
    <phoneticPr fontId="10" type="noConversion"/>
  </si>
  <si>
    <t>UCM72622a+b</t>
    <phoneticPr fontId="10" type="noConversion"/>
  </si>
  <si>
    <t>UCM72618a+b</t>
    <phoneticPr fontId="10" type="noConversion"/>
  </si>
  <si>
    <t>10-11-B34-#1</t>
    <phoneticPr fontId="10" type="noConversion"/>
  </si>
  <si>
    <t>M-075</t>
    <phoneticPr fontId="10" type="noConversion"/>
  </si>
  <si>
    <t>10-11-B20-#5</t>
    <phoneticPr fontId="10" type="noConversion"/>
  </si>
  <si>
    <t>Staphylinidae</t>
    <phoneticPr fontId="10" type="noConversion"/>
  </si>
  <si>
    <t>10-11-B31-#6</t>
    <phoneticPr fontId="10" type="noConversion"/>
  </si>
  <si>
    <t>M-071</t>
    <phoneticPr fontId="10" type="noConversion"/>
  </si>
  <si>
    <t>10-11-B62-#2a&amp;b</t>
    <phoneticPr fontId="10" type="noConversion"/>
  </si>
  <si>
    <t>Orthoptera</t>
    <phoneticPr fontId="10" type="noConversion"/>
  </si>
  <si>
    <t>10-11-B59-#1</t>
    <phoneticPr fontId="10" type="noConversion"/>
  </si>
  <si>
    <t>Curculionidae(?)</t>
    <phoneticPr fontId="10" type="noConversion"/>
  </si>
  <si>
    <t>M-052</t>
    <phoneticPr fontId="10" type="noConversion"/>
  </si>
  <si>
    <t>M-039</t>
    <phoneticPr fontId="10" type="noConversion"/>
  </si>
  <si>
    <t>T+E+A</t>
    <phoneticPr fontId="10" type="noConversion"/>
  </si>
  <si>
    <t>Insecta</t>
    <phoneticPr fontId="10" type="noConversion"/>
  </si>
  <si>
    <t>M-094 to M-101</t>
    <phoneticPr fontId="10" type="noConversion"/>
  </si>
  <si>
    <t>H+T+W+A</t>
    <phoneticPr fontId="10" type="noConversion"/>
  </si>
  <si>
    <t>Blattodea</t>
    <phoneticPr fontId="10" type="noConversion"/>
  </si>
  <si>
    <t>M-102</t>
    <phoneticPr fontId="10" type="noConversion"/>
  </si>
  <si>
    <t>H, L</t>
    <phoneticPr fontId="10" type="noConversion"/>
  </si>
  <si>
    <t>DV</t>
    <phoneticPr fontId="10" type="noConversion"/>
  </si>
  <si>
    <t>H+T+A</t>
    <phoneticPr fontId="10" type="noConversion"/>
  </si>
  <si>
    <t>10-11-B20-#1</t>
    <phoneticPr fontId="10" type="noConversion"/>
  </si>
  <si>
    <t>10-11-B60-#2</t>
    <phoneticPr fontId="10" type="noConversion"/>
  </si>
  <si>
    <t>10-11-B31-#4</t>
    <phoneticPr fontId="10" type="noConversion"/>
  </si>
  <si>
    <t>Measured based on M-65, which does not run off the sample</t>
    <phoneticPr fontId="10" type="noConversion"/>
  </si>
  <si>
    <t>Orientation</t>
    <phoneticPr fontId="10" type="noConversion"/>
  </si>
  <si>
    <t>Notes</t>
    <phoneticPr fontId="10" type="noConversion"/>
  </si>
  <si>
    <t>Leg #</t>
    <phoneticPr fontId="10" type="noConversion"/>
  </si>
  <si>
    <t>Antennae #</t>
    <phoneticPr fontId="10" type="noConversion"/>
  </si>
  <si>
    <t>Articulation</t>
    <phoneticPr fontId="10" type="noConversion"/>
  </si>
  <si>
    <t>Insecta</t>
    <phoneticPr fontId="10" type="noConversion"/>
  </si>
  <si>
    <t>Coleoptera</t>
    <phoneticPr fontId="10" type="noConversion"/>
  </si>
  <si>
    <t>M-110</t>
    <phoneticPr fontId="10" type="noConversion"/>
  </si>
  <si>
    <t>M-005</t>
    <phoneticPr fontId="10" type="noConversion"/>
  </si>
  <si>
    <t>H+T+W+A</t>
    <phoneticPr fontId="10" type="noConversion"/>
  </si>
  <si>
    <t>M-014</t>
    <phoneticPr fontId="10" type="noConversion"/>
  </si>
  <si>
    <t>M-015</t>
    <phoneticPr fontId="10" type="noConversion"/>
  </si>
  <si>
    <t>Carabidae</t>
    <phoneticPr fontId="10" type="noConversion"/>
  </si>
  <si>
    <t>H+T</t>
    <phoneticPr fontId="10" type="noConversion"/>
  </si>
  <si>
    <t>10-11-B60-#3</t>
    <phoneticPr fontId="10" type="noConversion"/>
  </si>
  <si>
    <t>Insecta</t>
    <phoneticPr fontId="10" type="noConversion"/>
  </si>
  <si>
    <t>M-029</t>
    <phoneticPr fontId="10" type="noConversion"/>
  </si>
  <si>
    <t>L</t>
    <phoneticPr fontId="10" type="noConversion"/>
  </si>
  <si>
    <t>H+T+W+A</t>
    <phoneticPr fontId="10" type="noConversion"/>
  </si>
  <si>
    <t>M-060</t>
    <phoneticPr fontId="10" type="noConversion"/>
  </si>
  <si>
    <t>10-11-B35-#3</t>
    <phoneticPr fontId="10" type="noConversion"/>
  </si>
  <si>
    <t>Diptera</t>
    <phoneticPr fontId="10" type="noConversion"/>
  </si>
  <si>
    <t>M-066</t>
    <phoneticPr fontId="10" type="noConversion"/>
  </si>
  <si>
    <t>Coleoptera(?)</t>
    <phoneticPr fontId="10" type="noConversion"/>
  </si>
  <si>
    <t>M-078</t>
    <phoneticPr fontId="10" type="noConversion"/>
  </si>
  <si>
    <t>L</t>
    <phoneticPr fontId="10" type="noConversion"/>
  </si>
  <si>
    <t>H+T+A</t>
    <phoneticPr fontId="10" type="noConversion"/>
  </si>
  <si>
    <t>10-11-B62-#1a&amp;b</t>
    <phoneticPr fontId="10" type="noConversion"/>
  </si>
  <si>
    <t>Insecta</t>
    <phoneticPr fontId="10" type="noConversion"/>
  </si>
  <si>
    <t>M-092 &amp; M-093</t>
    <phoneticPr fontId="10" type="noConversion"/>
  </si>
  <si>
    <t>L</t>
    <phoneticPr fontId="10" type="noConversion"/>
  </si>
  <si>
    <t>T+A</t>
    <phoneticPr fontId="10" type="noConversion"/>
  </si>
  <si>
    <t>Coleoptera</t>
    <phoneticPr fontId="10" type="noConversion"/>
  </si>
  <si>
    <t>M-054</t>
    <phoneticPr fontId="10" type="noConversion"/>
  </si>
  <si>
    <t>10-11-B18-#2a&amp;b</t>
    <phoneticPr fontId="10" type="noConversion"/>
  </si>
  <si>
    <t>10-11-B18-#5a</t>
    <phoneticPr fontId="10" type="noConversion"/>
  </si>
  <si>
    <t>10-11-B18-#6a</t>
    <phoneticPr fontId="10" type="noConversion"/>
  </si>
  <si>
    <t>10-11-B18-#7a</t>
    <phoneticPr fontId="10" type="noConversion"/>
  </si>
  <si>
    <t>10-11-B18-#8a</t>
    <phoneticPr fontId="10" type="noConversion"/>
  </si>
  <si>
    <t>10-11-B22-#1</t>
    <phoneticPr fontId="10" type="noConversion"/>
  </si>
  <si>
    <t>M-047</t>
    <phoneticPr fontId="10" type="noConversion"/>
  </si>
  <si>
    <t>T &amp; TCS</t>
    <phoneticPr fontId="10" type="noConversion"/>
  </si>
  <si>
    <t>10-11-B59-#5</t>
    <phoneticPr fontId="10" type="noConversion"/>
  </si>
  <si>
    <t>M-056</t>
    <phoneticPr fontId="10" type="noConversion"/>
  </si>
  <si>
    <t>Sc+A</t>
    <phoneticPr fontId="10" type="noConversion"/>
  </si>
  <si>
    <t>10-11-B35-#1</t>
    <phoneticPr fontId="10" type="noConversion"/>
  </si>
  <si>
    <t>UCM72621</t>
    <phoneticPr fontId="10" type="noConversion"/>
  </si>
  <si>
    <t>L</t>
    <phoneticPr fontId="10" type="noConversion"/>
  </si>
  <si>
    <t>H+T+W+A</t>
    <phoneticPr fontId="10" type="noConversion"/>
  </si>
  <si>
    <t>UCM72623</t>
    <phoneticPr fontId="10" type="noConversion"/>
  </si>
  <si>
    <t>Diptera</t>
    <phoneticPr fontId="10" type="noConversion"/>
  </si>
  <si>
    <t>M-074</t>
    <phoneticPr fontId="10" type="noConversion"/>
  </si>
  <si>
    <t>L</t>
    <phoneticPr fontId="10" type="noConversion"/>
  </si>
  <si>
    <t>M-051</t>
    <phoneticPr fontId="10" type="noConversion"/>
  </si>
  <si>
    <t>L</t>
    <phoneticPr fontId="10" type="noConversion"/>
  </si>
  <si>
    <t>QuantiBug Catalogue</t>
    <phoneticPr fontId="10" type="noConversion"/>
  </si>
  <si>
    <t>Specimen Number</t>
    <phoneticPr fontId="10" type="noConversion"/>
  </si>
  <si>
    <t>Length</t>
    <phoneticPr fontId="10" type="noConversion"/>
  </si>
  <si>
    <t>Width</t>
    <phoneticPr fontId="10" type="noConversion"/>
  </si>
  <si>
    <t>Photo #</t>
    <phoneticPr fontId="10" type="noConversion"/>
  </si>
  <si>
    <t>H+T+W+A</t>
    <phoneticPr fontId="10" type="noConversion"/>
  </si>
  <si>
    <t>Leg Quality</t>
    <phoneticPr fontId="10" type="noConversion"/>
  </si>
  <si>
    <t>Antennae Quality</t>
    <phoneticPr fontId="10" type="noConversion"/>
  </si>
  <si>
    <t>Eye Quality</t>
    <phoneticPr fontId="10" type="noConversion"/>
  </si>
  <si>
    <t>Head Quality</t>
    <phoneticPr fontId="10" type="noConversion"/>
  </si>
  <si>
    <t>Thorax Quality</t>
    <phoneticPr fontId="10" type="noConversion"/>
  </si>
  <si>
    <t>Taxon</t>
    <phoneticPr fontId="10" type="noConversion"/>
  </si>
  <si>
    <t>10-11-B65-#2</t>
    <phoneticPr fontId="10" type="noConversion"/>
  </si>
  <si>
    <t>10-11-B65-#3</t>
    <phoneticPr fontId="10" type="noConversion"/>
  </si>
  <si>
    <t>Coleoptera</t>
    <phoneticPr fontId="10" type="noConversion"/>
  </si>
  <si>
    <t>10-11-B4-#1</t>
    <phoneticPr fontId="10" type="noConversion"/>
  </si>
  <si>
    <t>10-11-B5-#1</t>
    <phoneticPr fontId="10" type="noConversion"/>
  </si>
  <si>
    <t>DV</t>
    <phoneticPr fontId="10" type="noConversion"/>
  </si>
  <si>
    <t>10-11-B5-#2</t>
    <phoneticPr fontId="10" type="noConversion"/>
  </si>
  <si>
    <t>Insecta</t>
    <phoneticPr fontId="10" type="noConversion"/>
  </si>
  <si>
    <t>M-003</t>
    <phoneticPr fontId="10" type="noConversion"/>
  </si>
  <si>
    <t>A</t>
    <phoneticPr fontId="10" type="noConversion"/>
  </si>
  <si>
    <t>M-045</t>
    <phoneticPr fontId="10" type="noConversion"/>
  </si>
  <si>
    <t>T</t>
    <phoneticPr fontId="10" type="noConversion"/>
  </si>
  <si>
    <t>10-11-B50-#4</t>
    <phoneticPr fontId="10" type="noConversion"/>
  </si>
  <si>
    <t>Insecta</t>
    <phoneticPr fontId="10" type="noConversion"/>
  </si>
  <si>
    <t>M-061</t>
    <phoneticPr fontId="10" type="noConversion"/>
  </si>
  <si>
    <t>Measurement is for the more complete "elytron"</t>
    <phoneticPr fontId="10" type="noConversion"/>
  </si>
  <si>
    <t>10-11-B26-#1</t>
    <phoneticPr fontId="10" type="noConversion"/>
  </si>
  <si>
    <t>M-017</t>
    <phoneticPr fontId="10" type="noConversion"/>
  </si>
  <si>
    <t>M-023</t>
    <phoneticPr fontId="10" type="noConversion"/>
  </si>
  <si>
    <t>10-11-B22-#6</t>
    <phoneticPr fontId="10" type="noConversion"/>
  </si>
  <si>
    <t>UCM76505</t>
    <phoneticPr fontId="10" type="noConversion"/>
  </si>
  <si>
    <t>Staphylinidae</t>
    <phoneticPr fontId="10" type="noConversion"/>
  </si>
  <si>
    <t>H+T+A</t>
    <phoneticPr fontId="10" type="noConversion"/>
  </si>
  <si>
    <t>Orthoptera</t>
    <phoneticPr fontId="10" type="noConversion"/>
  </si>
  <si>
    <t>Diptera</t>
    <phoneticPr fontId="10" type="noConversion"/>
  </si>
  <si>
    <t>Insecta</t>
    <phoneticPr fontId="10" type="noConversion"/>
  </si>
  <si>
    <t>Carabidae(?)</t>
    <phoneticPr fontId="10" type="noConversion"/>
  </si>
  <si>
    <t>UCM72652</t>
    <phoneticPr fontId="10" type="noConversion"/>
  </si>
  <si>
    <t>M-009</t>
    <phoneticPr fontId="10" type="noConversion"/>
  </si>
  <si>
    <t>10-11-B9-#1</t>
    <phoneticPr fontId="10" type="noConversion"/>
  </si>
  <si>
    <t>10-11-B33-#5</t>
    <phoneticPr fontId="10" type="noConversion"/>
  </si>
  <si>
    <t>L</t>
    <phoneticPr fontId="10" type="noConversion"/>
  </si>
  <si>
    <t>T+A</t>
    <phoneticPr fontId="10" type="noConversion"/>
  </si>
  <si>
    <t>H+T+A</t>
    <phoneticPr fontId="10" type="noConversion"/>
  </si>
  <si>
    <t>Measurements based on M-35</t>
    <phoneticPr fontId="10" type="noConversion"/>
  </si>
  <si>
    <t>UCM72640</t>
    <phoneticPr fontId="10" type="noConversion"/>
  </si>
  <si>
    <t>Coleoptera</t>
    <phoneticPr fontId="10" type="noConversion"/>
  </si>
  <si>
    <t>UCM72642</t>
    <phoneticPr fontId="10" type="noConversion"/>
  </si>
  <si>
    <t>M-062</t>
    <phoneticPr fontId="10" type="noConversion"/>
  </si>
  <si>
    <t>M-037</t>
    <phoneticPr fontId="10" type="noConversion"/>
  </si>
  <si>
    <t>10-11-B31-#1</t>
    <phoneticPr fontId="10" type="noConversion"/>
  </si>
  <si>
    <t>Insecta</t>
    <phoneticPr fontId="10" type="noConversion"/>
  </si>
  <si>
    <t>Coleoptera(?)</t>
    <phoneticPr fontId="10" type="noConversion"/>
  </si>
  <si>
    <t>10-11-B33-#3</t>
    <phoneticPr fontId="10" type="noConversion"/>
  </si>
  <si>
    <t>Heteroptera</t>
    <phoneticPr fontId="10" type="noConversion"/>
  </si>
  <si>
    <t>M-070</t>
    <phoneticPr fontId="10" type="noConversion"/>
  </si>
  <si>
    <t>M-007</t>
    <phoneticPr fontId="10" type="noConversion"/>
  </si>
  <si>
    <t>DV</t>
    <phoneticPr fontId="10" type="noConversion"/>
  </si>
  <si>
    <t>10-11-B36-#3</t>
    <phoneticPr fontId="10" type="noConversion"/>
  </si>
  <si>
    <t>Insecta</t>
    <phoneticPr fontId="10" type="noConversion"/>
  </si>
  <si>
    <t>M-081</t>
    <phoneticPr fontId="10" type="noConversion"/>
  </si>
  <si>
    <t>10-11-B43-#1</t>
    <phoneticPr fontId="10" type="noConversion"/>
  </si>
  <si>
    <t>M-082</t>
    <phoneticPr fontId="10" type="noConversion"/>
  </si>
  <si>
    <t>10-11-B43-#3</t>
    <phoneticPr fontId="10" type="noConversion"/>
  </si>
  <si>
    <t>Heteroptera(?)</t>
    <phoneticPr fontId="10" type="noConversion"/>
  </si>
  <si>
    <t>10-11-B43-#4</t>
    <phoneticPr fontId="10" type="noConversion"/>
  </si>
  <si>
    <t>Thysanoptera(?)</t>
    <phoneticPr fontId="10" type="noConversion"/>
  </si>
  <si>
    <t>M-085</t>
    <phoneticPr fontId="10" type="noConversion"/>
  </si>
  <si>
    <t>10-11-B56-#2</t>
    <phoneticPr fontId="10" type="noConversion"/>
  </si>
  <si>
    <t>Coleoptera</t>
    <phoneticPr fontId="10" type="noConversion"/>
  </si>
  <si>
    <t>M-046</t>
    <phoneticPr fontId="10" type="noConversion"/>
  </si>
  <si>
    <t>L</t>
    <phoneticPr fontId="10" type="noConversion"/>
  </si>
  <si>
    <t>M-030</t>
    <phoneticPr fontId="10" type="noConversion"/>
  </si>
  <si>
    <t>E</t>
    <phoneticPr fontId="10" type="noConversion"/>
  </si>
  <si>
    <t>10-11-B60-#1</t>
    <phoneticPr fontId="10" type="noConversion"/>
  </si>
  <si>
    <t>M-031</t>
    <phoneticPr fontId="10" type="noConversion"/>
  </si>
  <si>
    <t>10-11-B18-#1a</t>
    <phoneticPr fontId="10" type="noConversion"/>
  </si>
  <si>
    <t>Coleoptera</t>
    <phoneticPr fontId="10" type="noConversion"/>
  </si>
  <si>
    <t>Thysanoptera(?)</t>
    <phoneticPr fontId="10" type="noConversion"/>
  </si>
  <si>
    <t>M-073</t>
    <phoneticPr fontId="10" type="noConversion"/>
  </si>
  <si>
    <t>10-11-B23-#1</t>
    <phoneticPr fontId="10" type="noConversion"/>
  </si>
  <si>
    <t>10-11-B61-#1</t>
    <phoneticPr fontId="10" type="noConversion"/>
  </si>
  <si>
    <t>Diptera(?)</t>
    <phoneticPr fontId="10" type="noConversion"/>
  </si>
  <si>
    <t>10-11-B43-#2</t>
    <phoneticPr fontId="10" type="noConversion"/>
  </si>
  <si>
    <t>M-083</t>
    <phoneticPr fontId="10" type="noConversion"/>
  </si>
  <si>
    <t>10-11-B53-#1a&amp;b</t>
    <phoneticPr fontId="10" type="noConversion"/>
  </si>
  <si>
    <t>Orthoptera</t>
    <phoneticPr fontId="10" type="noConversion"/>
  </si>
  <si>
    <t>M-090 &amp; M-091</t>
    <phoneticPr fontId="10" type="noConversion"/>
  </si>
  <si>
    <t>L</t>
    <phoneticPr fontId="10" type="noConversion"/>
  </si>
  <si>
    <t>Diptera</t>
    <phoneticPr fontId="10" type="noConversion"/>
  </si>
  <si>
    <t>M-079</t>
    <phoneticPr fontId="10" type="noConversion"/>
  </si>
  <si>
    <t>DV</t>
    <phoneticPr fontId="10" type="noConversion"/>
  </si>
  <si>
    <t>H+T+A</t>
    <phoneticPr fontId="10" type="noConversion"/>
  </si>
  <si>
    <t>L</t>
    <phoneticPr fontId="10" type="noConversion"/>
  </si>
  <si>
    <t>UCM72605</t>
    <phoneticPr fontId="10" type="noConversion"/>
  </si>
  <si>
    <t>Thysanoptera</t>
    <phoneticPr fontId="10" type="noConversion"/>
  </si>
  <si>
    <t>10-11-B24-#2</t>
    <phoneticPr fontId="10" type="noConversion"/>
  </si>
  <si>
    <t>E, T, A</t>
    <phoneticPr fontId="10" type="noConversion"/>
  </si>
  <si>
    <t>10-11-B22-#5</t>
    <phoneticPr fontId="10" type="noConversion"/>
  </si>
  <si>
    <t>Coleoptera</t>
    <phoneticPr fontId="10" type="noConversion"/>
  </si>
  <si>
    <t>DV</t>
    <phoneticPr fontId="10" type="noConversion"/>
  </si>
  <si>
    <t>10-11-B20-#2</t>
    <phoneticPr fontId="10" type="noConversion"/>
  </si>
  <si>
    <t>Heteroptera</t>
    <phoneticPr fontId="10" type="noConversion"/>
  </si>
  <si>
    <t>M-042</t>
    <phoneticPr fontId="10" type="noConversion"/>
  </si>
  <si>
    <t>10-11-B20-#3</t>
    <phoneticPr fontId="10" type="noConversion"/>
  </si>
  <si>
    <t>M-043</t>
    <phoneticPr fontId="10" type="noConversion"/>
  </si>
  <si>
    <t>L(?)</t>
    <phoneticPr fontId="10" type="noConversion"/>
  </si>
  <si>
    <t>Wing Quality</t>
    <phoneticPr fontId="10" type="noConversion"/>
  </si>
  <si>
    <t>10-11-B20-#4</t>
    <phoneticPr fontId="10" type="noConversion"/>
  </si>
  <si>
    <t>M-044</t>
    <phoneticPr fontId="10" type="noConversion"/>
  </si>
  <si>
    <t>M-016</t>
    <phoneticPr fontId="10" type="noConversion"/>
  </si>
  <si>
    <t>Curculionoidea</t>
    <phoneticPr fontId="10" type="noConversion"/>
  </si>
  <si>
    <t>DV</t>
    <phoneticPr fontId="10" type="noConversion"/>
  </si>
  <si>
    <t>T+A</t>
    <phoneticPr fontId="10" type="noConversion"/>
  </si>
  <si>
    <t>UCM76503</t>
    <phoneticPr fontId="10" type="noConversion"/>
  </si>
  <si>
    <t>L</t>
    <phoneticPr fontId="10" type="noConversion"/>
  </si>
  <si>
    <t>T+A</t>
    <phoneticPr fontId="10" type="noConversion"/>
  </si>
  <si>
    <t>UCM76504</t>
    <phoneticPr fontId="10" type="noConversion"/>
  </si>
  <si>
    <t>Coleoptera</t>
    <phoneticPr fontId="10" type="noConversion"/>
  </si>
  <si>
    <t>T(?)+E+A</t>
    <phoneticPr fontId="10" type="noConversion"/>
  </si>
  <si>
    <t>Diptera(?)</t>
    <phoneticPr fontId="10" type="noConversion"/>
  </si>
  <si>
    <t>L</t>
    <phoneticPr fontId="10" type="noConversion"/>
  </si>
  <si>
    <t>UCM72651a+b</t>
    <phoneticPr fontId="10" type="noConversion"/>
  </si>
  <si>
    <t>W</t>
    <phoneticPr fontId="10" type="noConversion"/>
  </si>
  <si>
    <t>L</t>
    <phoneticPr fontId="10" type="noConversion"/>
  </si>
  <si>
    <t>H+T+W+A</t>
    <phoneticPr fontId="10" type="noConversion"/>
  </si>
  <si>
    <t>UCM72681</t>
    <phoneticPr fontId="10" type="noConversion"/>
  </si>
  <si>
    <t>Mycetophlidae</t>
    <phoneticPr fontId="10" type="noConversion"/>
  </si>
  <si>
    <t>L</t>
    <phoneticPr fontId="10" type="noConversion"/>
  </si>
  <si>
    <t>10-11-B12-#2</t>
    <phoneticPr fontId="10" type="noConversion"/>
  </si>
  <si>
    <t>Coleoptera</t>
    <phoneticPr fontId="10" type="noConversion"/>
  </si>
  <si>
    <t>T+A</t>
    <phoneticPr fontId="10" type="noConversion"/>
  </si>
  <si>
    <t>T+A</t>
    <phoneticPr fontId="10" type="noConversion"/>
  </si>
  <si>
    <t>M-103 &amp; M-104</t>
    <phoneticPr fontId="10" type="noConversion"/>
  </si>
  <si>
    <t>DV</t>
    <phoneticPr fontId="10" type="noConversion"/>
  </si>
  <si>
    <t>T</t>
    <phoneticPr fontId="10" type="noConversion"/>
  </si>
  <si>
    <t>10-11-B57-#1</t>
    <phoneticPr fontId="10" type="noConversion"/>
  </si>
  <si>
    <t>Orthoptera</t>
    <phoneticPr fontId="10" type="noConversion"/>
  </si>
  <si>
    <t>M-013</t>
    <phoneticPr fontId="10" type="noConversion"/>
  </si>
  <si>
    <t>10-11-B24-#1</t>
    <phoneticPr fontId="10" type="noConversion"/>
  </si>
  <si>
    <t>Staphylinidae</t>
    <phoneticPr fontId="10" type="noConversion"/>
  </si>
  <si>
    <t>10-11-B19-#1</t>
    <phoneticPr fontId="10" type="noConversion"/>
  </si>
  <si>
    <t>Thysanoptera</t>
    <phoneticPr fontId="10" type="noConversion"/>
  </si>
  <si>
    <t>M-072</t>
    <phoneticPr fontId="10" type="noConversion"/>
  </si>
  <si>
    <t>DV</t>
    <phoneticPr fontId="10" type="noConversion"/>
  </si>
  <si>
    <t>H+T+A</t>
    <phoneticPr fontId="10" type="noConversion"/>
  </si>
  <si>
    <t>10-11-B55-#1</t>
    <phoneticPr fontId="10" type="noConversion"/>
  </si>
  <si>
    <t>Curculionoidea</t>
    <phoneticPr fontId="10" type="noConversion"/>
  </si>
  <si>
    <t>10-11-B15-#1</t>
    <phoneticPr fontId="10" type="noConversion"/>
  </si>
  <si>
    <t>Blattodea(?)</t>
    <phoneticPr fontId="10" type="noConversion"/>
  </si>
  <si>
    <t>10-11-B29-#1</t>
    <phoneticPr fontId="10" type="noConversion"/>
  </si>
  <si>
    <t>M-034</t>
    <phoneticPr fontId="10" type="noConversion"/>
  </si>
  <si>
    <t>10-11-B36-#2</t>
    <phoneticPr fontId="10" type="noConversion"/>
  </si>
  <si>
    <t>10-11-B33-#4</t>
    <phoneticPr fontId="10" type="noConversion"/>
  </si>
  <si>
    <t>M-022</t>
    <phoneticPr fontId="10" type="noConversion"/>
  </si>
  <si>
    <t>10-11-B38-#1</t>
    <phoneticPr fontId="10" type="noConversion"/>
  </si>
  <si>
    <t>Coleoptera(?)</t>
    <phoneticPr fontId="10" type="noConversion"/>
  </si>
  <si>
    <t>10-11-B54-#1</t>
    <phoneticPr fontId="10" type="noConversion"/>
  </si>
  <si>
    <t>Carabidae(?)</t>
    <phoneticPr fontId="10" type="noConversion"/>
  </si>
  <si>
    <t>M-027</t>
    <phoneticPr fontId="10" type="noConversion"/>
  </si>
  <si>
    <t>DV</t>
    <phoneticPr fontId="10" type="noConversion"/>
  </si>
  <si>
    <t>10-11-B10-#1</t>
    <phoneticPr fontId="10" type="noConversion"/>
  </si>
  <si>
    <t>Coleoptera</t>
    <phoneticPr fontId="10" type="noConversion"/>
  </si>
  <si>
    <t>T+W+L</t>
    <phoneticPr fontId="10" type="noConversion"/>
  </si>
  <si>
    <t>H+T+A</t>
    <phoneticPr fontId="10" type="noConversion"/>
  </si>
  <si>
    <t>10-11-B43-#5</t>
    <phoneticPr fontId="10" type="noConversion"/>
  </si>
  <si>
    <t>M-086</t>
    <phoneticPr fontId="10" type="noConversion"/>
  </si>
  <si>
    <t>10-11-B67-#1</t>
    <phoneticPr fontId="10" type="noConversion"/>
  </si>
  <si>
    <t>M-033</t>
    <phoneticPr fontId="10" type="noConversion"/>
  </si>
  <si>
    <t>L</t>
    <phoneticPr fontId="10" type="noConversion"/>
  </si>
  <si>
    <t>H+T+A</t>
    <phoneticPr fontId="10" type="noConversion"/>
  </si>
  <si>
    <t>Diptera</t>
    <phoneticPr fontId="10" type="noConversion"/>
  </si>
  <si>
    <t>H(?)+T+A</t>
    <phoneticPr fontId="10" type="noConversion"/>
  </si>
  <si>
    <t>M-035 &amp; M-036</t>
    <phoneticPr fontId="10" type="noConversion"/>
  </si>
  <si>
    <t>DV</t>
    <phoneticPr fontId="10" type="noConversion"/>
  </si>
  <si>
    <t>Coleoptera</t>
    <phoneticPr fontId="10" type="noConversion"/>
  </si>
  <si>
    <t>T+A</t>
    <phoneticPr fontId="10" type="noConversion"/>
  </si>
  <si>
    <t>UCM72689</t>
    <phoneticPr fontId="10" type="noConversion"/>
  </si>
  <si>
    <t>Blattodea</t>
    <phoneticPr fontId="10" type="noConversion"/>
  </si>
  <si>
    <t>H+T+W</t>
    <phoneticPr fontId="10" type="noConversion"/>
  </si>
  <si>
    <t>M-087</t>
    <phoneticPr fontId="10" type="noConversion"/>
  </si>
  <si>
    <t>L</t>
    <phoneticPr fontId="10" type="noConversion"/>
  </si>
  <si>
    <t>L</t>
    <phoneticPr fontId="10" type="noConversion"/>
  </si>
  <si>
    <t>H(?)+T+A</t>
    <phoneticPr fontId="10" type="noConversion"/>
  </si>
  <si>
    <t>M-088</t>
    <phoneticPr fontId="10" type="noConversion"/>
  </si>
  <si>
    <t>10-11-B53-#1a</t>
    <phoneticPr fontId="10" type="noConversion"/>
  </si>
  <si>
    <t>M-089</t>
    <phoneticPr fontId="10" type="noConversion"/>
  </si>
  <si>
    <t>H+P, T+A</t>
    <phoneticPr fontId="10" type="noConversion"/>
  </si>
  <si>
    <t>10-11-B33-#1</t>
    <phoneticPr fontId="10" type="noConversion"/>
  </si>
  <si>
    <t>Insecta</t>
    <phoneticPr fontId="10" type="noConversion"/>
  </si>
  <si>
    <t>H+T+A</t>
    <phoneticPr fontId="10" type="noConversion"/>
  </si>
  <si>
    <t>UCM72608</t>
    <phoneticPr fontId="10" type="noConversion"/>
  </si>
  <si>
    <t>T+W+A</t>
    <phoneticPr fontId="10" type="noConversion"/>
  </si>
  <si>
    <t>UCM72604</t>
    <phoneticPr fontId="10" type="noConversion"/>
  </si>
  <si>
    <t>10-11-B22-#2</t>
    <phoneticPr fontId="10" type="noConversion"/>
  </si>
  <si>
    <t>M-048</t>
    <phoneticPr fontId="10" type="noConversion"/>
  </si>
  <si>
    <t>H+T+W+A</t>
    <phoneticPr fontId="10" type="noConversion"/>
  </si>
  <si>
    <t>10-11-B22-#3</t>
    <phoneticPr fontId="10" type="noConversion"/>
  </si>
  <si>
    <t>Diptera(?)</t>
    <phoneticPr fontId="10" type="noConversion"/>
  </si>
  <si>
    <t>M-049</t>
    <phoneticPr fontId="10" type="noConversion"/>
  </si>
  <si>
    <t>UCM76525a+b</t>
    <phoneticPr fontId="10" type="noConversion"/>
  </si>
  <si>
    <t>UCM76555</t>
    <phoneticPr fontId="10" type="noConversion"/>
  </si>
  <si>
    <t>UCM72699</t>
    <phoneticPr fontId="10" type="noConversion"/>
  </si>
  <si>
    <t>UCM72700</t>
    <phoneticPr fontId="10" type="noConversion"/>
  </si>
  <si>
    <t>UCM76514a+b</t>
    <phoneticPr fontId="10" type="noConversion"/>
  </si>
  <si>
    <t>Diptera</t>
    <phoneticPr fontId="10" type="noConversion"/>
  </si>
  <si>
    <t>L(?)</t>
    <phoneticPr fontId="10" type="noConversion"/>
  </si>
  <si>
    <t>UCM76515</t>
    <phoneticPr fontId="10" type="noConversion"/>
  </si>
  <si>
    <t>Achilidae(?)</t>
    <phoneticPr fontId="10" type="noConversion"/>
  </si>
  <si>
    <t>UCM76516a+b</t>
    <phoneticPr fontId="10" type="noConversion"/>
  </si>
  <si>
    <t>Hymenoptera(?)</t>
    <phoneticPr fontId="10" type="noConversion"/>
  </si>
  <si>
    <t>UCM76546</t>
    <phoneticPr fontId="10" type="noConversion"/>
  </si>
  <si>
    <t>Auchenorrhyncha</t>
    <phoneticPr fontId="10" type="noConversion"/>
  </si>
  <si>
    <t>UCM76547</t>
    <phoneticPr fontId="10" type="noConversion"/>
  </si>
  <si>
    <t>UCM76548</t>
    <phoneticPr fontId="10" type="noConversion"/>
  </si>
  <si>
    <t>Scutelleridae(?)</t>
    <phoneticPr fontId="10" type="noConversion"/>
  </si>
  <si>
    <t>UCM72644</t>
    <phoneticPr fontId="10" type="noConversion"/>
  </si>
  <si>
    <t>Elateridae(?)</t>
    <phoneticPr fontId="10" type="noConversion"/>
  </si>
  <si>
    <t>So much reflection on the ruler, I find this measurement dubious</t>
    <phoneticPr fontId="10" type="noConversion"/>
  </si>
  <si>
    <t>M-031</t>
    <phoneticPr fontId="10" type="noConversion"/>
  </si>
  <si>
    <t>Measurements based on M-92</t>
    <phoneticPr fontId="10" type="noConversion"/>
  </si>
  <si>
    <t>10-11-B65-#1</t>
    <phoneticPr fontId="10" type="noConversion"/>
  </si>
  <si>
    <t>M-010</t>
    <phoneticPr fontId="10" type="noConversion"/>
  </si>
  <si>
    <t>M-011</t>
    <phoneticPr fontId="10" type="noConversion"/>
  </si>
  <si>
    <t>10-11-B17-#1</t>
    <phoneticPr fontId="10" type="noConversion"/>
  </si>
  <si>
    <t>Coleoptera(?)</t>
    <phoneticPr fontId="10" type="noConversion"/>
  </si>
  <si>
    <t>M-012</t>
    <phoneticPr fontId="10" type="noConversion"/>
  </si>
  <si>
    <t>E</t>
    <phoneticPr fontId="10" type="noConversion"/>
  </si>
  <si>
    <t>10-11-B17-#2</t>
    <phoneticPr fontId="10" type="noConversion"/>
  </si>
  <si>
    <t>Staphylinidae(?)</t>
    <phoneticPr fontId="10" type="noConversion"/>
  </si>
  <si>
    <t>UCM72682</t>
    <phoneticPr fontId="10" type="noConversion"/>
  </si>
  <si>
    <t>UCM72684</t>
    <phoneticPr fontId="10" type="noConversion"/>
  </si>
  <si>
    <t>UCM72643</t>
    <phoneticPr fontId="10" type="noConversion"/>
  </si>
  <si>
    <t>DV</t>
    <phoneticPr fontId="10" type="noConversion"/>
  </si>
  <si>
    <t>H+T+W+A</t>
    <phoneticPr fontId="10" type="noConversion"/>
  </si>
  <si>
    <t>10-11-B39-#2</t>
    <phoneticPr fontId="10" type="noConversion"/>
  </si>
  <si>
    <t>Coleoptera(?)</t>
    <phoneticPr fontId="10" type="noConversion"/>
  </si>
  <si>
    <t>M-024</t>
    <phoneticPr fontId="10" type="noConversion"/>
  </si>
  <si>
    <t>L</t>
    <phoneticPr fontId="10" type="noConversion"/>
  </si>
  <si>
    <t>T+A</t>
    <phoneticPr fontId="10" type="noConversion"/>
  </si>
  <si>
    <t>UCM72603</t>
    <phoneticPr fontId="10" type="noConversion"/>
  </si>
  <si>
    <t>T+W+A</t>
    <phoneticPr fontId="10" type="noConversion"/>
  </si>
  <si>
    <t>UCM72645</t>
    <phoneticPr fontId="10" type="noConversion"/>
  </si>
  <si>
    <t>Cleridae</t>
    <phoneticPr fontId="10" type="noConversion"/>
  </si>
  <si>
    <t>Blattodea</t>
    <phoneticPr fontId="10" type="noConversion"/>
  </si>
  <si>
    <t>A</t>
    <phoneticPr fontId="10" type="noConversion"/>
  </si>
  <si>
    <t>UCM72698</t>
    <phoneticPr fontId="10" type="noConversion"/>
  </si>
  <si>
    <t>H+T+A</t>
    <phoneticPr fontId="10" type="noConversion"/>
  </si>
  <si>
    <t>DV</t>
    <phoneticPr fontId="10" type="noConversion"/>
  </si>
  <si>
    <t>H+T+A</t>
    <phoneticPr fontId="10" type="noConversion"/>
  </si>
  <si>
    <t>UCM76506</t>
    <phoneticPr fontId="10" type="noConversion"/>
  </si>
  <si>
    <t>Bibionidae</t>
    <phoneticPr fontId="10" type="noConversion"/>
  </si>
  <si>
    <t>W, A</t>
    <phoneticPr fontId="10" type="noConversion"/>
  </si>
  <si>
    <t>UCM76508</t>
    <phoneticPr fontId="10" type="noConversion"/>
  </si>
  <si>
    <t>Hymenoptera</t>
    <phoneticPr fontId="10" type="noConversion"/>
  </si>
  <si>
    <t>UCM72650</t>
    <phoneticPr fontId="10" type="noConversion"/>
  </si>
  <si>
    <t>L</t>
    <phoneticPr fontId="10" type="noConversion"/>
  </si>
  <si>
    <t>Curculionoidea(?)</t>
    <phoneticPr fontId="10" type="noConversion"/>
  </si>
  <si>
    <t>UCM72688</t>
    <phoneticPr fontId="10" type="noConversion"/>
  </si>
  <si>
    <t>Curculionoidea</t>
    <phoneticPr fontId="10" type="noConversion"/>
  </si>
  <si>
    <t>T+A</t>
    <phoneticPr fontId="10" type="noConversion"/>
  </si>
  <si>
    <t>M-080</t>
    <phoneticPr fontId="10" type="noConversion"/>
  </si>
  <si>
    <t>Carabidae</t>
    <phoneticPr fontId="10" type="noConversion"/>
  </si>
  <si>
    <t>10-11-B52-#1</t>
    <phoneticPr fontId="10" type="noConversion"/>
  </si>
  <si>
    <t>Orthoptera</t>
    <phoneticPr fontId="10" type="noConversion"/>
  </si>
  <si>
    <t>10-11-B45-#1</t>
    <phoneticPr fontId="10" type="noConversion"/>
  </si>
  <si>
    <t>Curculionidae</t>
    <phoneticPr fontId="10" type="noConversion"/>
  </si>
  <si>
    <t>M-025</t>
    <phoneticPr fontId="10" type="noConversion"/>
  </si>
  <si>
    <t>10-11-B45-#2</t>
    <phoneticPr fontId="10" type="noConversion"/>
  </si>
  <si>
    <t>Staphylinidae</t>
    <phoneticPr fontId="10" type="noConversion"/>
  </si>
  <si>
    <t>M-026</t>
    <phoneticPr fontId="10" type="noConversion"/>
  </si>
  <si>
    <t>L</t>
    <phoneticPr fontId="10" type="noConversion"/>
  </si>
  <si>
    <t>H+T+A</t>
    <phoneticPr fontId="10" type="noConversion"/>
  </si>
  <si>
    <t>UCM72628</t>
    <phoneticPr fontId="10" type="noConversion"/>
  </si>
  <si>
    <t>UCM72629</t>
    <phoneticPr fontId="10" type="noConversion"/>
  </si>
  <si>
    <t>UCM72630</t>
    <phoneticPr fontId="10" type="noConversion"/>
  </si>
  <si>
    <t>UCM72637</t>
    <phoneticPr fontId="10" type="noConversion"/>
  </si>
  <si>
    <t>UCM72638</t>
    <phoneticPr fontId="10" type="noConversion"/>
  </si>
  <si>
    <t>H+T+A</t>
    <phoneticPr fontId="10" type="noConversion"/>
  </si>
  <si>
    <t>UCM72639</t>
    <phoneticPr fontId="10" type="noConversion"/>
  </si>
  <si>
    <t>Auchenorrhyncha</t>
    <phoneticPr fontId="10" type="noConversion"/>
  </si>
  <si>
    <t>Bibionidae</t>
    <phoneticPr fontId="10" type="noConversion"/>
  </si>
  <si>
    <t>Hymenoptera</t>
    <phoneticPr fontId="10" type="noConversion"/>
  </si>
  <si>
    <t>UCM76502</t>
    <phoneticPr fontId="10" type="noConversion"/>
  </si>
  <si>
    <t>UCM76571a+b</t>
    <phoneticPr fontId="10" type="noConversion"/>
  </si>
  <si>
    <t>UCM76539a+b</t>
    <phoneticPr fontId="10" type="noConversion"/>
  </si>
  <si>
    <t>UCM76512a+b</t>
    <phoneticPr fontId="10" type="noConversion"/>
  </si>
  <si>
    <t>UCM72607a+b</t>
    <phoneticPr fontId="10" type="noConversion"/>
  </si>
  <si>
    <t>UCM77105</t>
    <phoneticPr fontId="10" type="noConversion"/>
  </si>
  <si>
    <t>Diptera</t>
    <phoneticPr fontId="10" type="noConversion"/>
  </si>
  <si>
    <t>L</t>
    <phoneticPr fontId="10" type="noConversion"/>
  </si>
  <si>
    <t>UCM76026a+c</t>
    <phoneticPr fontId="10" type="noConversion"/>
  </si>
  <si>
    <t>UCM76556</t>
    <phoneticPr fontId="10" type="noConversion"/>
  </si>
  <si>
    <t>UCM76540a+b</t>
    <phoneticPr fontId="10" type="noConversion"/>
  </si>
  <si>
    <t>UCM76557</t>
    <phoneticPr fontId="10" type="noConversion"/>
  </si>
  <si>
    <t>Hymenoptera</t>
    <phoneticPr fontId="10" type="noConversion"/>
  </si>
  <si>
    <t>UCM76558</t>
    <phoneticPr fontId="10" type="noConversion"/>
  </si>
  <si>
    <t>Diptera(?)</t>
    <phoneticPr fontId="10" type="noConversion"/>
  </si>
  <si>
    <t>Staphylinidae</t>
    <phoneticPr fontId="10" type="noConversion"/>
  </si>
  <si>
    <t>DV</t>
    <phoneticPr fontId="10" type="noConversion"/>
  </si>
  <si>
    <t>H+T+W+A</t>
    <phoneticPr fontId="10" type="noConversion"/>
  </si>
  <si>
    <t>H+T+W+A</t>
    <phoneticPr fontId="10" type="noConversion"/>
  </si>
  <si>
    <t>10-11-B24-#3</t>
    <phoneticPr fontId="10" type="noConversion"/>
  </si>
  <si>
    <t>Diptera</t>
    <phoneticPr fontId="10" type="noConversion"/>
  </si>
  <si>
    <t>UCM72653</t>
    <phoneticPr fontId="10" type="noConversion"/>
  </si>
  <si>
    <t>W, T+A</t>
    <phoneticPr fontId="10" type="noConversion"/>
  </si>
  <si>
    <t>Heteroptera</t>
    <phoneticPr fontId="10" type="noConversion"/>
  </si>
  <si>
    <t>UCM72683</t>
    <phoneticPr fontId="10" type="noConversion"/>
  </si>
  <si>
    <t>Heteroptera(?)</t>
    <phoneticPr fontId="10" type="noConversion"/>
  </si>
  <si>
    <t>Measurements based on M-90</t>
    <phoneticPr fontId="10" type="noConversion"/>
  </si>
  <si>
    <t>UCM72601</t>
    <phoneticPr fontId="10" type="noConversion"/>
  </si>
  <si>
    <t>Coleoptera</t>
    <phoneticPr fontId="10" type="noConversion"/>
  </si>
  <si>
    <t>UCM72602</t>
    <phoneticPr fontId="10" type="noConversion"/>
  </si>
  <si>
    <t>Hemiptera(?)</t>
    <phoneticPr fontId="10" type="noConversion"/>
  </si>
  <si>
    <t>Diptera(?)</t>
    <phoneticPr fontId="10" type="noConversion"/>
  </si>
  <si>
    <t>W, A</t>
    <phoneticPr fontId="10" type="noConversion"/>
  </si>
  <si>
    <t>UCM72694</t>
    <phoneticPr fontId="10" type="noConversion"/>
  </si>
  <si>
    <t>E</t>
    <phoneticPr fontId="10" type="noConversion"/>
  </si>
  <si>
    <t>UCM72695</t>
    <phoneticPr fontId="10" type="noConversion"/>
  </si>
  <si>
    <t>Insecta</t>
    <phoneticPr fontId="10" type="noConversion"/>
  </si>
  <si>
    <t>UCM72696</t>
    <phoneticPr fontId="10" type="noConversion"/>
  </si>
  <si>
    <t>H+T+A</t>
    <phoneticPr fontId="10" type="noConversion"/>
  </si>
  <si>
    <t>UCM76517a+b</t>
    <phoneticPr fontId="10" type="noConversion"/>
  </si>
  <si>
    <t>Insecta</t>
    <phoneticPr fontId="10" type="noConversion"/>
  </si>
  <si>
    <t>L</t>
    <phoneticPr fontId="10" type="noConversion"/>
  </si>
  <si>
    <t>UCM76518a+b</t>
    <phoneticPr fontId="10" type="noConversion"/>
  </si>
  <si>
    <t>Diptera</t>
    <phoneticPr fontId="10" type="noConversion"/>
  </si>
  <si>
    <t>UCM76519a+b</t>
    <phoneticPr fontId="10" type="noConversion"/>
  </si>
  <si>
    <t>UCM76550</t>
    <phoneticPr fontId="10" type="noConversion"/>
  </si>
  <si>
    <t>T</t>
    <phoneticPr fontId="10" type="noConversion"/>
  </si>
  <si>
    <t>UCM76507</t>
    <phoneticPr fontId="10" type="noConversion"/>
  </si>
  <si>
    <t>Auchenorrhyncha(?)</t>
    <phoneticPr fontId="10" type="noConversion"/>
  </si>
  <si>
    <t>H+T+W+A</t>
    <phoneticPr fontId="10" type="noConversion"/>
  </si>
  <si>
    <t>Insecta</t>
    <phoneticPr fontId="10" type="noConversion"/>
  </si>
  <si>
    <t>T+A</t>
    <phoneticPr fontId="10" type="noConversion"/>
  </si>
  <si>
    <t>T</t>
    <phoneticPr fontId="10" type="noConversion"/>
  </si>
  <si>
    <t>H+T+W+A</t>
    <phoneticPr fontId="10" type="noConversion"/>
  </si>
  <si>
    <t>UCM76569</t>
    <phoneticPr fontId="10" type="noConversion"/>
  </si>
  <si>
    <t>UCM76538a+b</t>
    <phoneticPr fontId="10" type="noConversion"/>
  </si>
  <si>
    <t>Coleoptera</t>
    <phoneticPr fontId="10" type="noConversion"/>
  </si>
  <si>
    <t>H+T+W+A</t>
    <phoneticPr fontId="10" type="noConversion"/>
  </si>
  <si>
    <t>UCM72636</t>
    <phoneticPr fontId="10" type="noConversion"/>
  </si>
  <si>
    <t>Diptera(?)</t>
    <phoneticPr fontId="10" type="noConversion"/>
  </si>
  <si>
    <t>H+T+W+A</t>
    <phoneticPr fontId="10" type="noConversion"/>
  </si>
  <si>
    <t>UCM72686</t>
    <phoneticPr fontId="10" type="noConversion"/>
  </si>
  <si>
    <t>Coleoptera</t>
    <phoneticPr fontId="10" type="noConversion"/>
  </si>
  <si>
    <t>T+A</t>
    <phoneticPr fontId="10" type="noConversion"/>
  </si>
  <si>
    <t>UCM72687</t>
    <phoneticPr fontId="10" type="noConversion"/>
  </si>
  <si>
    <t>Auchenorrhyncha</t>
    <phoneticPr fontId="10" type="noConversion"/>
  </si>
  <si>
    <t>T</t>
    <phoneticPr fontId="10" type="noConversion"/>
  </si>
  <si>
    <t>UCM76501</t>
    <phoneticPr fontId="10" type="noConversion"/>
  </si>
  <si>
    <t>Insecta</t>
    <phoneticPr fontId="10" type="noConversion"/>
  </si>
  <si>
    <t>TCS</t>
    <phoneticPr fontId="10" type="noConversion"/>
  </si>
  <si>
    <t>H+T</t>
    <phoneticPr fontId="10" type="noConversion"/>
  </si>
  <si>
    <t>UCM76530</t>
    <phoneticPr fontId="10" type="noConversion"/>
  </si>
  <si>
    <t>Hymenoptera(?)</t>
    <phoneticPr fontId="10" type="noConversion"/>
  </si>
  <si>
    <t>T</t>
    <phoneticPr fontId="10" type="noConversion"/>
  </si>
  <si>
    <t>DV(?)</t>
    <phoneticPr fontId="10" type="noConversion"/>
  </si>
  <si>
    <t>UCM76532a+b</t>
    <phoneticPr fontId="10" type="noConversion"/>
  </si>
  <si>
    <t>UCM76531a+b</t>
    <phoneticPr fontId="10" type="noConversion"/>
  </si>
  <si>
    <t>UCM76533a+b</t>
    <phoneticPr fontId="10" type="noConversion"/>
  </si>
  <si>
    <t>UCM76552</t>
    <phoneticPr fontId="10" type="noConversion"/>
  </si>
  <si>
    <t>Diptera</t>
    <phoneticPr fontId="10" type="noConversion"/>
  </si>
  <si>
    <t>Diptera(?)</t>
    <phoneticPr fontId="10" type="noConversion"/>
  </si>
  <si>
    <t>UCM76520a+b</t>
    <phoneticPr fontId="10" type="noConversion"/>
  </si>
  <si>
    <t>UCM76521a+b</t>
    <phoneticPr fontId="10" type="noConversion"/>
  </si>
  <si>
    <t>Insecta</t>
    <phoneticPr fontId="10" type="noConversion"/>
  </si>
  <si>
    <t>Diptera</t>
    <phoneticPr fontId="10" type="noConversion"/>
  </si>
  <si>
    <t>L</t>
    <phoneticPr fontId="10" type="noConversion"/>
  </si>
  <si>
    <t>Insecta</t>
    <phoneticPr fontId="10" type="noConversion"/>
  </si>
  <si>
    <t>UCM76526a+b</t>
    <phoneticPr fontId="10" type="noConversion"/>
  </si>
  <si>
    <t>M-199</t>
    <phoneticPr fontId="10" type="noConversion"/>
  </si>
  <si>
    <t>M-200</t>
    <phoneticPr fontId="10" type="noConversion"/>
  </si>
  <si>
    <t>M-201</t>
    <phoneticPr fontId="10" type="noConversion"/>
  </si>
  <si>
    <t>M-202</t>
    <phoneticPr fontId="10" type="noConversion"/>
  </si>
  <si>
    <t>M-203</t>
    <phoneticPr fontId="10" type="noConversion"/>
  </si>
  <si>
    <t>UCM72669a+b</t>
    <phoneticPr fontId="10" type="noConversion"/>
  </si>
  <si>
    <t>UCM72634</t>
    <phoneticPr fontId="10" type="noConversion"/>
  </si>
  <si>
    <t>UCM72635</t>
    <phoneticPr fontId="10" type="noConversion"/>
  </si>
  <si>
    <t>Acrididae</t>
    <phoneticPr fontId="10" type="noConversion"/>
  </si>
  <si>
    <t>M-211</t>
    <phoneticPr fontId="10" type="noConversion"/>
  </si>
  <si>
    <t>M-212</t>
    <phoneticPr fontId="10" type="noConversion"/>
  </si>
  <si>
    <t>M-213</t>
    <phoneticPr fontId="10" type="noConversion"/>
  </si>
  <si>
    <t>M-214</t>
    <phoneticPr fontId="10" type="noConversion"/>
  </si>
  <si>
    <t>M-215</t>
    <phoneticPr fontId="10" type="noConversion"/>
  </si>
  <si>
    <t>M-231 &amp; M-232</t>
    <phoneticPr fontId="10" type="noConversion"/>
  </si>
  <si>
    <t>M-233</t>
    <phoneticPr fontId="10" type="noConversion"/>
  </si>
  <si>
    <t>M-240</t>
    <phoneticPr fontId="10" type="noConversion"/>
  </si>
  <si>
    <t>UCM76549</t>
    <phoneticPr fontId="10" type="noConversion"/>
  </si>
  <si>
    <t>Auchenorrhyncha</t>
    <phoneticPr fontId="10" type="noConversion"/>
  </si>
  <si>
    <t>UCM76566</t>
    <phoneticPr fontId="10" type="noConversion"/>
  </si>
  <si>
    <t>Mycetophilidae</t>
    <phoneticPr fontId="10" type="noConversion"/>
  </si>
  <si>
    <t>UCM76534a+b</t>
    <phoneticPr fontId="10" type="noConversion"/>
  </si>
  <si>
    <t>UCM76536a+b</t>
    <phoneticPr fontId="10" type="noConversion"/>
  </si>
  <si>
    <t>UCM76509</t>
    <phoneticPr fontId="10" type="noConversion"/>
  </si>
  <si>
    <t>T+W+A</t>
    <phoneticPr fontId="10" type="noConversion"/>
  </si>
  <si>
    <t>UCM76537a+b</t>
    <phoneticPr fontId="10" type="noConversion"/>
  </si>
  <si>
    <t>Auchenorrhyncha(?)</t>
    <phoneticPr fontId="10" type="noConversion"/>
  </si>
  <si>
    <t>O</t>
    <phoneticPr fontId="10" type="noConversion"/>
  </si>
  <si>
    <t>T+W+A</t>
    <phoneticPr fontId="10" type="noConversion"/>
  </si>
  <si>
    <t>UCM76570</t>
    <phoneticPr fontId="10" type="noConversion"/>
  </si>
  <si>
    <t>UCM76511a+b</t>
    <phoneticPr fontId="10" type="noConversion"/>
  </si>
  <si>
    <t>L</t>
    <phoneticPr fontId="10" type="noConversion"/>
  </si>
  <si>
    <t>L(?)</t>
    <phoneticPr fontId="10" type="noConversion"/>
  </si>
  <si>
    <t>UCM72685</t>
    <phoneticPr fontId="10" type="noConversion"/>
  </si>
  <si>
    <t>Hymenoptera</t>
    <phoneticPr fontId="10" type="noConversion"/>
  </si>
  <si>
    <t>UCM76541a+b</t>
    <phoneticPr fontId="10" type="noConversion"/>
  </si>
  <si>
    <t>Coleoptera</t>
    <phoneticPr fontId="10" type="noConversion"/>
  </si>
  <si>
    <t>Auchenorrhyncha</t>
    <phoneticPr fontId="10" type="noConversion"/>
  </si>
  <si>
    <t>Blattodea</t>
    <phoneticPr fontId="10" type="noConversion"/>
  </si>
  <si>
    <t>O</t>
    <phoneticPr fontId="10" type="noConversion"/>
  </si>
  <si>
    <t>UCM76529</t>
    <phoneticPr fontId="10" type="noConversion"/>
  </si>
  <si>
    <t>O</t>
    <phoneticPr fontId="10" type="noConversion"/>
  </si>
  <si>
    <t>T</t>
    <phoneticPr fontId="10" type="noConversion"/>
  </si>
  <si>
    <t>UCM76562</t>
    <phoneticPr fontId="10" type="noConversion"/>
  </si>
  <si>
    <t>UCM76563</t>
    <phoneticPr fontId="10" type="noConversion"/>
  </si>
  <si>
    <t>UCM76551</t>
    <phoneticPr fontId="10" type="noConversion"/>
  </si>
  <si>
    <t>Coleoptera(?)</t>
    <phoneticPr fontId="10" type="noConversion"/>
  </si>
  <si>
    <t>UCM72692a+b</t>
    <phoneticPr fontId="10" type="noConversion"/>
  </si>
  <si>
    <t>UCM76553</t>
    <phoneticPr fontId="10" type="noConversion"/>
  </si>
  <si>
    <t>Thysaoptera</t>
    <phoneticPr fontId="10" type="noConversion"/>
  </si>
  <si>
    <t>UCM76522</t>
    <phoneticPr fontId="10" type="noConversion"/>
  </si>
  <si>
    <t>W</t>
    <phoneticPr fontId="10" type="noConversion"/>
  </si>
  <si>
    <t>UCM76523</t>
    <phoneticPr fontId="10" type="noConversion"/>
  </si>
  <si>
    <t>Insecta</t>
    <phoneticPr fontId="10" type="noConversion"/>
  </si>
  <si>
    <t>UCM76524</t>
    <phoneticPr fontId="10" type="noConversion"/>
  </si>
  <si>
    <t>Diptera</t>
    <phoneticPr fontId="10" type="noConversion"/>
  </si>
  <si>
    <t>UCM76554</t>
    <phoneticPr fontId="10" type="noConversion"/>
  </si>
  <si>
    <t>Auchenorrhyncha</t>
    <phoneticPr fontId="10" type="noConversion"/>
  </si>
  <si>
    <t>UCM76578a+b</t>
    <phoneticPr fontId="10" type="noConversion"/>
  </si>
  <si>
    <t>UCM76582a+b</t>
    <phoneticPr fontId="10" type="noConversion"/>
  </si>
  <si>
    <t>Araneae</t>
    <phoneticPr fontId="10" type="noConversion"/>
  </si>
  <si>
    <t>UCM76583a+b</t>
    <phoneticPr fontId="10" type="noConversion"/>
  </si>
  <si>
    <t>UCM76513a+b</t>
    <phoneticPr fontId="10" type="noConversion"/>
  </si>
  <si>
    <t>Bibionidae</t>
    <phoneticPr fontId="10" type="noConversion"/>
  </si>
  <si>
    <t>Curculionoidea</t>
    <phoneticPr fontId="10" type="noConversion"/>
  </si>
  <si>
    <t>UCM76543</t>
    <phoneticPr fontId="10" type="noConversion"/>
  </si>
  <si>
    <t>UCM76544</t>
    <phoneticPr fontId="10" type="noConversion"/>
  </si>
  <si>
    <t>Diptera(?)</t>
    <phoneticPr fontId="10" type="noConversion"/>
  </si>
  <si>
    <t>L</t>
    <phoneticPr fontId="10" type="noConversion"/>
  </si>
  <si>
    <t>T+A</t>
    <phoneticPr fontId="10" type="noConversion"/>
  </si>
  <si>
    <t>UCM76545</t>
    <phoneticPr fontId="10" type="noConversion"/>
  </si>
  <si>
    <t>Staphylinidae</t>
    <phoneticPr fontId="10" type="noConversion"/>
  </si>
  <si>
    <t>UCM76576</t>
    <phoneticPr fontId="10" type="noConversion"/>
  </si>
  <si>
    <t>Thysanoptera</t>
    <phoneticPr fontId="10" type="noConversion"/>
  </si>
  <si>
    <t>Tipuloidea</t>
    <phoneticPr fontId="10" type="noConversion"/>
  </si>
  <si>
    <t>UCM76564</t>
    <phoneticPr fontId="10" type="noConversion"/>
  </si>
  <si>
    <t>T</t>
    <phoneticPr fontId="10" type="noConversion"/>
  </si>
  <si>
    <t>UCM76565</t>
    <phoneticPr fontId="10" type="noConversion"/>
  </si>
  <si>
    <t>UCM76595a+b</t>
    <phoneticPr fontId="10" type="noConversion"/>
  </si>
  <si>
    <t>UCM76596a+b</t>
    <phoneticPr fontId="10" type="noConversion"/>
  </si>
  <si>
    <t>UCM76535a+b</t>
    <phoneticPr fontId="10" type="noConversion"/>
  </si>
  <si>
    <t>Insecta</t>
    <phoneticPr fontId="10" type="noConversion"/>
  </si>
  <si>
    <t>Insecta</t>
    <phoneticPr fontId="10" type="noConversion"/>
  </si>
  <si>
    <t>Diptera(?)</t>
    <phoneticPr fontId="10" type="noConversion"/>
  </si>
  <si>
    <t>UCM76567</t>
    <phoneticPr fontId="10" type="noConversion"/>
  </si>
  <si>
    <t>UCM76568</t>
    <phoneticPr fontId="10" type="noConversion"/>
  </si>
  <si>
    <t>UCM72619a+b</t>
    <phoneticPr fontId="10" type="noConversion"/>
  </si>
  <si>
    <t>M-258 &amp; M-259</t>
    <phoneticPr fontId="10" type="noConversion"/>
  </si>
  <si>
    <t>M-260 &amp; M-261</t>
    <phoneticPr fontId="10" type="noConversion"/>
  </si>
  <si>
    <t>M-262 &amp; M-263</t>
    <phoneticPr fontId="10" type="noConversion"/>
  </si>
  <si>
    <t>Measurements based on M-197</t>
    <phoneticPr fontId="10" type="noConversion"/>
  </si>
  <si>
    <t>M-264</t>
    <phoneticPr fontId="10" type="noConversion"/>
  </si>
  <si>
    <t>Length seems complete or nearly so</t>
    <phoneticPr fontId="10" type="noConversion"/>
  </si>
  <si>
    <t>UCM77107a+b</t>
    <phoneticPr fontId="10" type="noConversion"/>
  </si>
  <si>
    <t>M-267 &amp; M-268</t>
    <phoneticPr fontId="10" type="noConversion"/>
  </si>
  <si>
    <t>Measurements based on M-258</t>
    <phoneticPr fontId="10" type="noConversion"/>
  </si>
  <si>
    <t>Measurements based on M-206</t>
    <phoneticPr fontId="10" type="noConversion"/>
  </si>
  <si>
    <t>Measurements based on M-224</t>
    <phoneticPr fontId="10" type="noConversion"/>
  </si>
  <si>
    <t>UCM76592</t>
    <phoneticPr fontId="10" type="noConversion"/>
  </si>
  <si>
    <t>UCM76593</t>
    <phoneticPr fontId="10" type="noConversion"/>
  </si>
  <si>
    <t>L(?)</t>
    <phoneticPr fontId="10" type="noConversion"/>
  </si>
  <si>
    <t>UCM72691a+b</t>
    <phoneticPr fontId="10" type="noConversion"/>
  </si>
  <si>
    <t>UCM77119</t>
    <phoneticPr fontId="10" type="noConversion"/>
  </si>
  <si>
    <t>Coleoptera</t>
    <phoneticPr fontId="10" type="noConversion"/>
  </si>
  <si>
    <t>UCM72693a+b</t>
    <phoneticPr fontId="10" type="noConversion"/>
  </si>
  <si>
    <t>L</t>
    <phoneticPr fontId="10" type="noConversion"/>
  </si>
  <si>
    <t>Tipulidae</t>
    <phoneticPr fontId="10" type="noConversion"/>
  </si>
  <si>
    <t>UCM76580</t>
    <phoneticPr fontId="10" type="noConversion"/>
  </si>
  <si>
    <t>Mycetophilidae(?)</t>
    <phoneticPr fontId="10" type="noConversion"/>
  </si>
  <si>
    <t>UCM76581a+b</t>
    <phoneticPr fontId="10" type="noConversion"/>
  </si>
  <si>
    <t>UCM76579a+b</t>
    <phoneticPr fontId="10" type="noConversion"/>
  </si>
  <si>
    <t>UCM76577a+b</t>
    <phoneticPr fontId="10" type="noConversion"/>
  </si>
  <si>
    <t>Tipuloidea</t>
    <phoneticPr fontId="10" type="noConversion"/>
  </si>
  <si>
    <t>Coleoptera</t>
    <phoneticPr fontId="10" type="noConversion"/>
  </si>
  <si>
    <t>UCM72671a+b</t>
    <phoneticPr fontId="10" type="noConversion"/>
  </si>
  <si>
    <t>M-204 &amp; M-205</t>
    <phoneticPr fontId="10" type="noConversion"/>
  </si>
  <si>
    <t>M-206 &amp; M-207</t>
    <phoneticPr fontId="10" type="noConversion"/>
  </si>
  <si>
    <t>UCM76559a+b</t>
    <phoneticPr fontId="10" type="noConversion"/>
  </si>
  <si>
    <t>UCM76560a+b</t>
    <phoneticPr fontId="10" type="noConversion"/>
  </si>
  <si>
    <t>Mordellidae</t>
    <phoneticPr fontId="10" type="noConversion"/>
  </si>
  <si>
    <t>UCM76584a+b</t>
    <phoneticPr fontId="10" type="noConversion"/>
  </si>
  <si>
    <t>UCM76542a+b</t>
    <phoneticPr fontId="10" type="noConversion"/>
  </si>
  <si>
    <t>DV</t>
    <phoneticPr fontId="10" type="noConversion"/>
  </si>
  <si>
    <t>UCM76585a+b</t>
    <phoneticPr fontId="10" type="noConversion"/>
  </si>
  <si>
    <t>UCM76572a+b</t>
    <phoneticPr fontId="10" type="noConversion"/>
  </si>
  <si>
    <t>Curculionoidea</t>
    <phoneticPr fontId="10" type="noConversion"/>
  </si>
  <si>
    <t>L</t>
    <phoneticPr fontId="10" type="noConversion"/>
  </si>
  <si>
    <t>UCM76573a+b</t>
    <phoneticPr fontId="10" type="noConversion"/>
  </si>
  <si>
    <t>UCM76574</t>
    <phoneticPr fontId="10" type="noConversion"/>
  </si>
  <si>
    <t>Sternorrhyncha</t>
    <phoneticPr fontId="10" type="noConversion"/>
  </si>
  <si>
    <t>UCM76575</t>
    <phoneticPr fontId="10" type="noConversion"/>
  </si>
  <si>
    <t>UCM76600</t>
    <phoneticPr fontId="10" type="noConversion"/>
  </si>
  <si>
    <t>UCM76594a+b</t>
    <phoneticPr fontId="10" type="noConversion"/>
  </si>
  <si>
    <t>Coleoptera(?)</t>
    <phoneticPr fontId="10" type="noConversion"/>
  </si>
  <si>
    <t>Flatidae</t>
    <phoneticPr fontId="10" type="noConversion"/>
  </si>
  <si>
    <t>UCM76597a+b</t>
    <phoneticPr fontId="10" type="noConversion"/>
  </si>
  <si>
    <t xml:space="preserve">M-168 1.0x; M-169 1.25x; M-170 1.6x; M-171 2.0x; M-172 2.5x; focused on "2"; M-173 3.2x; M-174 4.0x focused on line beneath "2" </t>
    <phoneticPr fontId="10" type="noConversion"/>
  </si>
  <si>
    <t>M-175</t>
    <phoneticPr fontId="10" type="noConversion"/>
  </si>
  <si>
    <t>UCM72606a+b</t>
    <phoneticPr fontId="10" type="noConversion"/>
  </si>
  <si>
    <t>UCM77106</t>
    <phoneticPr fontId="10" type="noConversion"/>
  </si>
  <si>
    <t>UCM76027a+c</t>
    <phoneticPr fontId="10" type="noConversion"/>
  </si>
  <si>
    <t>Coleoptera</t>
    <phoneticPr fontId="10" type="noConversion"/>
  </si>
  <si>
    <t>DV</t>
    <phoneticPr fontId="10" type="noConversion"/>
  </si>
  <si>
    <t>E</t>
    <phoneticPr fontId="10" type="noConversion"/>
  </si>
  <si>
    <t>Cixiidae</t>
    <phoneticPr fontId="10" type="noConversion"/>
  </si>
  <si>
    <t>UCM76586</t>
    <phoneticPr fontId="10" type="noConversion"/>
  </si>
  <si>
    <t>UCM76587</t>
    <phoneticPr fontId="10" type="noConversion"/>
  </si>
  <si>
    <t>DV</t>
    <phoneticPr fontId="10" type="noConversion"/>
  </si>
  <si>
    <t>UCM76589</t>
    <phoneticPr fontId="10" type="noConversion"/>
  </si>
  <si>
    <t>Diptera(?)</t>
    <phoneticPr fontId="10" type="noConversion"/>
  </si>
  <si>
    <t>H+T+W</t>
    <phoneticPr fontId="10" type="noConversion"/>
  </si>
  <si>
    <t>UCM76590</t>
    <phoneticPr fontId="10" type="noConversion"/>
  </si>
  <si>
    <t>UCM76591</t>
    <phoneticPr fontId="10" type="noConversion"/>
  </si>
  <si>
    <t>UCM77101</t>
    <phoneticPr fontId="10" type="noConversion"/>
  </si>
  <si>
    <t>Cixiidae(?)</t>
    <phoneticPr fontId="10" type="noConversion"/>
  </si>
  <si>
    <t>UCM77102</t>
    <phoneticPr fontId="10" type="noConversion"/>
  </si>
  <si>
    <t>UCM77103</t>
    <phoneticPr fontId="10" type="noConversion"/>
  </si>
  <si>
    <t>UCM77104</t>
    <phoneticPr fontId="10" type="noConversion"/>
  </si>
  <si>
    <t>Araneae</t>
    <phoneticPr fontId="10" type="noConversion"/>
  </si>
  <si>
    <t>UCM72670a+b</t>
    <phoneticPr fontId="10" type="noConversion"/>
  </si>
  <si>
    <t>M-197 &amp; M-198</t>
    <phoneticPr fontId="10" type="noConversion"/>
  </si>
  <si>
    <t>UCM77118</t>
    <phoneticPr fontId="10" type="noConversion"/>
  </si>
  <si>
    <t>M-284</t>
    <phoneticPr fontId="10" type="noConversion"/>
  </si>
  <si>
    <t>M-285</t>
    <phoneticPr fontId="10" type="noConversion"/>
  </si>
  <si>
    <t>M-286</t>
    <phoneticPr fontId="10" type="noConversion"/>
  </si>
  <si>
    <t>M-287</t>
    <phoneticPr fontId="10" type="noConversion"/>
  </si>
  <si>
    <t>M-288</t>
    <phoneticPr fontId="10" type="noConversion"/>
  </si>
  <si>
    <t>M-289</t>
    <phoneticPr fontId="10" type="noConversion"/>
  </si>
  <si>
    <t>M-290</t>
    <phoneticPr fontId="10" type="noConversion"/>
  </si>
  <si>
    <t>M-291</t>
    <phoneticPr fontId="10" type="noConversion"/>
  </si>
  <si>
    <t>M-292</t>
    <phoneticPr fontId="10" type="noConversion"/>
  </si>
  <si>
    <t>Cixiidae</t>
    <phoneticPr fontId="10" type="noConversion"/>
  </si>
  <si>
    <t>M-293</t>
    <phoneticPr fontId="10" type="noConversion"/>
  </si>
  <si>
    <t>M-294</t>
    <phoneticPr fontId="10" type="noConversion"/>
  </si>
  <si>
    <t>Blattodea</t>
    <phoneticPr fontId="10" type="noConversion"/>
  </si>
  <si>
    <t>A</t>
    <phoneticPr fontId="10" type="noConversion"/>
  </si>
  <si>
    <t>M-250 &amp; M-251</t>
    <phoneticPr fontId="10" type="noConversion"/>
  </si>
  <si>
    <t>Staphylinidae</t>
    <phoneticPr fontId="10" type="noConversion"/>
  </si>
  <si>
    <t>M-252 &amp; M-253</t>
    <phoneticPr fontId="10" type="noConversion"/>
  </si>
  <si>
    <t>Staphylinidae</t>
    <phoneticPr fontId="10" type="noConversion"/>
  </si>
  <si>
    <t>UCM76598</t>
    <phoneticPr fontId="10" type="noConversion"/>
  </si>
  <si>
    <t>UCM76599</t>
    <phoneticPr fontId="10" type="noConversion"/>
  </si>
  <si>
    <t>UCM77113</t>
    <phoneticPr fontId="10" type="noConversion"/>
  </si>
  <si>
    <t>Orthoptera</t>
    <phoneticPr fontId="10" type="noConversion"/>
  </si>
  <si>
    <t>UCM77114</t>
    <phoneticPr fontId="10" type="noConversion"/>
  </si>
  <si>
    <t>Ichneumonidae</t>
    <phoneticPr fontId="10" type="noConversion"/>
  </si>
  <si>
    <t>UCM77115</t>
    <phoneticPr fontId="10" type="noConversion"/>
  </si>
  <si>
    <t>Bibionidae</t>
    <phoneticPr fontId="10" type="noConversion"/>
  </si>
  <si>
    <t>M-228</t>
    <phoneticPr fontId="10" type="noConversion"/>
  </si>
  <si>
    <t>M-229</t>
    <phoneticPr fontId="10" type="noConversion"/>
  </si>
  <si>
    <t>UCM77125</t>
    <phoneticPr fontId="10" type="noConversion"/>
  </si>
  <si>
    <t>Caelifera</t>
    <phoneticPr fontId="10" type="noConversion"/>
  </si>
  <si>
    <t>UCM77138</t>
    <phoneticPr fontId="10" type="noConversion"/>
  </si>
  <si>
    <t>M-265</t>
    <phoneticPr fontId="10" type="noConversion"/>
  </si>
  <si>
    <t>M-266</t>
    <phoneticPr fontId="10" type="noConversion"/>
  </si>
  <si>
    <t>UCM76588a+b</t>
    <phoneticPr fontId="10" type="noConversion"/>
  </si>
  <si>
    <t>Bibionidae</t>
    <phoneticPr fontId="10" type="noConversion"/>
  </si>
  <si>
    <t>UCM77108</t>
    <phoneticPr fontId="10" type="noConversion"/>
  </si>
  <si>
    <t>UCM77109</t>
    <phoneticPr fontId="10" type="noConversion"/>
  </si>
  <si>
    <t>UCM77111</t>
    <phoneticPr fontId="10" type="noConversion"/>
  </si>
  <si>
    <t>UCM77110</t>
    <phoneticPr fontId="10" type="noConversion"/>
  </si>
  <si>
    <t>Hymenoptera</t>
    <phoneticPr fontId="10" type="noConversion"/>
  </si>
  <si>
    <t>Carabidae</t>
    <phoneticPr fontId="10" type="noConversion"/>
  </si>
  <si>
    <t>UCM77117a+b</t>
    <phoneticPr fontId="10" type="noConversion"/>
  </si>
  <si>
    <t>UCM72631</t>
    <phoneticPr fontId="10" type="noConversion"/>
  </si>
  <si>
    <t>UCM72632a+b</t>
    <phoneticPr fontId="10" type="noConversion"/>
  </si>
  <si>
    <t>UCM72633</t>
    <phoneticPr fontId="10" type="noConversion"/>
  </si>
  <si>
    <t>Measurements based on M-191</t>
    <phoneticPr fontId="10" type="noConversion"/>
  </si>
  <si>
    <t>Measurements based on M-205</t>
    <phoneticPr fontId="10" type="noConversion"/>
  </si>
  <si>
    <t>M-208 &amp; M-209</t>
    <phoneticPr fontId="10" type="noConversion"/>
  </si>
  <si>
    <t>UCM77132</t>
    <phoneticPr fontId="10" type="noConversion"/>
  </si>
  <si>
    <t>UCM77130a+b</t>
    <phoneticPr fontId="10" type="noConversion"/>
  </si>
  <si>
    <t>UCM77142</t>
    <phoneticPr fontId="10" type="noConversion"/>
  </si>
  <si>
    <t>L</t>
    <phoneticPr fontId="10" type="noConversion"/>
  </si>
  <si>
    <t>M-234 &amp; M-235</t>
    <phoneticPr fontId="10" type="noConversion"/>
  </si>
  <si>
    <t>M-236 &amp; M-237</t>
    <phoneticPr fontId="10" type="noConversion"/>
  </si>
  <si>
    <t>M-238 &amp; M-239</t>
    <phoneticPr fontId="10" type="noConversion"/>
  </si>
  <si>
    <t>UCM77143</t>
    <phoneticPr fontId="10" type="noConversion"/>
  </si>
  <si>
    <t>UCM77144</t>
    <phoneticPr fontId="10" type="noConversion"/>
  </si>
  <si>
    <t>Bibionidae(?)</t>
    <phoneticPr fontId="10" type="noConversion"/>
  </si>
  <si>
    <t>M-182</t>
    <phoneticPr fontId="10" type="noConversion"/>
  </si>
  <si>
    <t>M-183</t>
    <phoneticPr fontId="10" type="noConversion"/>
  </si>
  <si>
    <t>M-184</t>
    <phoneticPr fontId="10" type="noConversion"/>
  </si>
  <si>
    <t>M-186</t>
    <phoneticPr fontId="10" type="noConversion"/>
  </si>
  <si>
    <t>M-187</t>
    <phoneticPr fontId="10" type="noConversion"/>
  </si>
  <si>
    <t>M-188</t>
    <phoneticPr fontId="10" type="noConversion"/>
  </si>
  <si>
    <t>M-189</t>
    <phoneticPr fontId="10" type="noConversion"/>
  </si>
  <si>
    <t>UCM72641a+b</t>
    <phoneticPr fontId="10" type="noConversion"/>
  </si>
  <si>
    <t>Coleoptera</t>
    <phoneticPr fontId="10" type="noConversion"/>
  </si>
  <si>
    <t>M-185 &amp; M-191</t>
    <phoneticPr fontId="10" type="noConversion"/>
  </si>
  <si>
    <t>M-192</t>
    <phoneticPr fontId="10" type="noConversion"/>
  </si>
  <si>
    <t>M-193</t>
    <phoneticPr fontId="10" type="noConversion"/>
  </si>
  <si>
    <t>M-194</t>
    <phoneticPr fontId="10" type="noConversion"/>
  </si>
  <si>
    <t>M-195</t>
    <phoneticPr fontId="10" type="noConversion"/>
  </si>
  <si>
    <t>M-196</t>
    <phoneticPr fontId="10" type="noConversion"/>
  </si>
  <si>
    <t>UCM77112</t>
    <phoneticPr fontId="10" type="noConversion"/>
  </si>
  <si>
    <t>Elateroidea</t>
    <phoneticPr fontId="10" type="noConversion"/>
  </si>
  <si>
    <t>M-226</t>
    <phoneticPr fontId="10" type="noConversion"/>
  </si>
  <si>
    <t>M-227</t>
    <phoneticPr fontId="10" type="noConversion"/>
  </si>
  <si>
    <t>UCM77124</t>
    <phoneticPr fontId="10" type="noConversion"/>
  </si>
  <si>
    <t>Blattodea(?)</t>
    <phoneticPr fontId="10" type="noConversion"/>
  </si>
  <si>
    <t>UCM77134</t>
    <phoneticPr fontId="10" type="noConversion"/>
  </si>
  <si>
    <t>UCM77137</t>
    <phoneticPr fontId="10" type="noConversion"/>
  </si>
  <si>
    <t>T+W</t>
    <phoneticPr fontId="10" type="noConversion"/>
  </si>
  <si>
    <t>M-249</t>
    <phoneticPr fontId="10" type="noConversion"/>
  </si>
  <si>
    <t>M-254</t>
    <phoneticPr fontId="10" type="noConversion"/>
  </si>
  <si>
    <t>M-255</t>
    <phoneticPr fontId="10" type="noConversion"/>
  </si>
  <si>
    <t>M-256</t>
    <phoneticPr fontId="10" type="noConversion"/>
  </si>
  <si>
    <t>M-257</t>
    <phoneticPr fontId="10" type="noConversion"/>
  </si>
  <si>
    <t>Measurements based on M-380</t>
    <phoneticPr fontId="10" type="noConversion"/>
  </si>
  <si>
    <t>M-581</t>
    <phoneticPr fontId="10" type="noConversion"/>
  </si>
  <si>
    <t>M-582 &amp; M-583</t>
    <phoneticPr fontId="10" type="noConversion"/>
  </si>
  <si>
    <t>M-586 &amp; M-587</t>
    <phoneticPr fontId="10" type="noConversion"/>
  </si>
  <si>
    <t>M-588</t>
    <phoneticPr fontId="10" type="noConversion"/>
  </si>
  <si>
    <t>Insecta</t>
    <phoneticPr fontId="10" type="noConversion"/>
  </si>
  <si>
    <t>M-651</t>
    <phoneticPr fontId="10" type="noConversion"/>
  </si>
  <si>
    <t>L</t>
    <phoneticPr fontId="10" type="noConversion"/>
  </si>
  <si>
    <t>M-590</t>
    <phoneticPr fontId="10" type="noConversion"/>
  </si>
  <si>
    <t>Measurements based on M-439</t>
    <phoneticPr fontId="10" type="noConversion"/>
  </si>
  <si>
    <t>Measurements based on M-477</t>
    <phoneticPr fontId="10" type="noConversion"/>
  </si>
  <si>
    <t>Muscomorpha(?)</t>
    <phoneticPr fontId="10" type="noConversion"/>
  </si>
  <si>
    <t>UCM77146</t>
    <phoneticPr fontId="10" type="noConversion"/>
  </si>
  <si>
    <t>M-557</t>
    <phoneticPr fontId="10" type="noConversion"/>
  </si>
  <si>
    <t>M-558 &amp; M-559</t>
    <phoneticPr fontId="10" type="noConversion"/>
  </si>
  <si>
    <t>Staphylinidae</t>
    <phoneticPr fontId="10" type="noConversion"/>
  </si>
  <si>
    <t>Curculionoidea</t>
    <phoneticPr fontId="10" type="noConversion"/>
  </si>
  <si>
    <t>UCM77145</t>
    <phoneticPr fontId="10" type="noConversion"/>
  </si>
  <si>
    <t>UCM77120a+b</t>
    <phoneticPr fontId="10" type="noConversion"/>
  </si>
  <si>
    <t>M-216 &amp; M-217</t>
    <phoneticPr fontId="10" type="noConversion"/>
  </si>
  <si>
    <t>UCM77121</t>
    <phoneticPr fontId="10" type="noConversion"/>
  </si>
  <si>
    <t>M-218</t>
    <phoneticPr fontId="10" type="noConversion"/>
  </si>
  <si>
    <t>UCM77122</t>
    <phoneticPr fontId="10" type="noConversion"/>
  </si>
  <si>
    <t>M-219</t>
    <phoneticPr fontId="10" type="noConversion"/>
  </si>
  <si>
    <t>M-220</t>
    <phoneticPr fontId="10" type="noConversion"/>
  </si>
  <si>
    <t>M-221</t>
    <phoneticPr fontId="10" type="noConversion"/>
  </si>
  <si>
    <t>UCM76510a+c</t>
    <phoneticPr fontId="10" type="noConversion"/>
  </si>
  <si>
    <t>Tipuloidea</t>
    <phoneticPr fontId="10" type="noConversion"/>
  </si>
  <si>
    <t>Measurements based on M-216; width does not include strange femora</t>
    <phoneticPr fontId="10" type="noConversion"/>
  </si>
  <si>
    <t>Measurements based on M-238</t>
    <phoneticPr fontId="10" type="noConversion"/>
  </si>
  <si>
    <t>Measurements based on M-241; not including huge femora or divergent elytra</t>
    <phoneticPr fontId="10" type="noConversion"/>
  </si>
  <si>
    <t>Measurements based on M-178</t>
    <phoneticPr fontId="10" type="noConversion"/>
  </si>
  <si>
    <t>Measurement is of the posterior portion of an abdomen</t>
    <phoneticPr fontId="10" type="noConversion"/>
  </si>
  <si>
    <t>Measurements based on M-209</t>
    <phoneticPr fontId="10" type="noConversion"/>
  </si>
  <si>
    <t>Measurements based on M-210</t>
    <phoneticPr fontId="10" type="noConversion"/>
  </si>
  <si>
    <t>UCM77141</t>
    <phoneticPr fontId="10" type="noConversion"/>
  </si>
  <si>
    <t>Adephaga(?)</t>
    <phoneticPr fontId="10" type="noConversion"/>
  </si>
  <si>
    <t>Curculionoidea</t>
    <phoneticPr fontId="10" type="noConversion"/>
  </si>
  <si>
    <t>UCM77129a+b</t>
    <phoneticPr fontId="10" type="noConversion"/>
  </si>
  <si>
    <t>UCM77128a+b</t>
    <phoneticPr fontId="10" type="noConversion"/>
  </si>
  <si>
    <t>UCM77127a+b</t>
    <phoneticPr fontId="10" type="noConversion"/>
  </si>
  <si>
    <t>Hymenoptera(?)</t>
    <phoneticPr fontId="10" type="noConversion"/>
  </si>
  <si>
    <t>UCM77149a+b</t>
    <phoneticPr fontId="10" type="noConversion"/>
  </si>
  <si>
    <t>UCM77150a+b</t>
    <phoneticPr fontId="10" type="noConversion"/>
  </si>
  <si>
    <t>M-241 &amp; M-242</t>
    <phoneticPr fontId="10" type="noConversion"/>
  </si>
  <si>
    <t>M-243</t>
    <phoneticPr fontId="10" type="noConversion"/>
  </si>
  <si>
    <t>M-244 &amp; M-245</t>
    <phoneticPr fontId="10" type="noConversion"/>
  </si>
  <si>
    <t>M-246</t>
    <phoneticPr fontId="10" type="noConversion"/>
  </si>
  <si>
    <t>M-176 &amp; M-177</t>
    <phoneticPr fontId="10" type="noConversion"/>
  </si>
  <si>
    <t>M-178 &amp; M-179</t>
    <phoneticPr fontId="10" type="noConversion"/>
  </si>
  <si>
    <t>M-181</t>
    <phoneticPr fontId="10" type="noConversion"/>
  </si>
  <si>
    <t>UCM77116</t>
    <phoneticPr fontId="10" type="noConversion"/>
  </si>
  <si>
    <t>M-180</t>
    <phoneticPr fontId="10" type="noConversion"/>
  </si>
  <si>
    <t>M-210 &amp; M-222</t>
    <phoneticPr fontId="10" type="noConversion"/>
  </si>
  <si>
    <t>UCM77123a+b</t>
    <phoneticPr fontId="10" type="noConversion"/>
  </si>
  <si>
    <t>M-223 &amp; M-224</t>
    <phoneticPr fontId="10" type="noConversion"/>
  </si>
  <si>
    <t>M-225</t>
    <phoneticPr fontId="10" type="noConversion"/>
  </si>
  <si>
    <t>UCM77139a+b</t>
    <phoneticPr fontId="10" type="noConversion"/>
  </si>
  <si>
    <t>UCM77147a+b</t>
    <phoneticPr fontId="10" type="noConversion"/>
  </si>
  <si>
    <t>UCM77148a+b</t>
    <phoneticPr fontId="10" type="noConversion"/>
  </si>
  <si>
    <t>M-247</t>
    <phoneticPr fontId="10" type="noConversion"/>
  </si>
  <si>
    <t>M-248</t>
    <phoneticPr fontId="10" type="noConversion"/>
  </si>
  <si>
    <t>M-272 &amp; M-273</t>
    <phoneticPr fontId="10" type="noConversion"/>
  </si>
  <si>
    <t>M-274 &amp; M-275</t>
    <phoneticPr fontId="10" type="noConversion"/>
  </si>
  <si>
    <t>UCM76561a+b</t>
    <phoneticPr fontId="10" type="noConversion"/>
  </si>
  <si>
    <t>M-276</t>
    <phoneticPr fontId="10" type="noConversion"/>
  </si>
  <si>
    <t>M-277</t>
    <phoneticPr fontId="10" type="noConversion"/>
  </si>
  <si>
    <t>M-278</t>
    <phoneticPr fontId="10" type="noConversion"/>
  </si>
  <si>
    <t>M-279</t>
    <phoneticPr fontId="10" type="noConversion"/>
  </si>
  <si>
    <t>M-280</t>
    <phoneticPr fontId="10" type="noConversion"/>
  </si>
  <si>
    <t>M-281</t>
    <phoneticPr fontId="10" type="noConversion"/>
  </si>
  <si>
    <t>M-282</t>
    <phoneticPr fontId="10" type="noConversion"/>
  </si>
  <si>
    <t>M-283</t>
    <phoneticPr fontId="10" type="noConversion"/>
  </si>
  <si>
    <t>Measurements based on M-473, interpreted abdomen posterior a faint extension</t>
    <phoneticPr fontId="10" type="noConversion"/>
  </si>
  <si>
    <t>Measurements based on M-495</t>
    <phoneticPr fontId="10" type="noConversion"/>
  </si>
  <si>
    <t>Measurements based on M-674; preserved length difficult to estimate</t>
    <phoneticPr fontId="10" type="noConversion"/>
  </si>
  <si>
    <t>Length measured over the gap at the "waist;" measurements based on M-683</t>
    <phoneticPr fontId="10" type="noConversion"/>
  </si>
  <si>
    <t>Measurements based on M-413</t>
    <phoneticPr fontId="10" type="noConversion"/>
  </si>
  <si>
    <t>Measurements based on M-437</t>
    <phoneticPr fontId="10" type="noConversion"/>
  </si>
  <si>
    <t>UCM77131c+d</t>
    <phoneticPr fontId="10" type="noConversion"/>
  </si>
  <si>
    <t>The length is nearly complete, and can probably be used</t>
    <phoneticPr fontId="10" type="noConversion"/>
  </si>
  <si>
    <t>M-230 &amp; M-190</t>
    <phoneticPr fontId="10" type="noConversion"/>
  </si>
  <si>
    <t>Measurements based on M-230</t>
    <phoneticPr fontId="10" type="noConversion"/>
  </si>
  <si>
    <t>Measurements based on M-235</t>
    <phoneticPr fontId="10" type="noConversion"/>
  </si>
  <si>
    <t>Measurements based on M-435</t>
    <phoneticPr fontId="10" type="noConversion"/>
  </si>
  <si>
    <t>Measurements based on M-442</t>
    <phoneticPr fontId="10" type="noConversion"/>
  </si>
  <si>
    <t>Measurements based on M-441</t>
    <phoneticPr fontId="10" type="noConversion"/>
  </si>
  <si>
    <t>Hymenoptera</t>
    <phoneticPr fontId="10" type="noConversion"/>
  </si>
  <si>
    <t>Measurements based on M-237</t>
    <phoneticPr fontId="10" type="noConversion"/>
  </si>
  <si>
    <t>Measurements based on M-177</t>
    <phoneticPr fontId="10" type="noConversion"/>
  </si>
  <si>
    <t>UCM72697a+b</t>
    <phoneticPr fontId="10" type="noConversion"/>
  </si>
  <si>
    <t>M-584 &amp; M-589</t>
    <phoneticPr fontId="10" type="noConversion"/>
  </si>
  <si>
    <t>Measurements based on M-403</t>
    <phoneticPr fontId="10" type="noConversion"/>
  </si>
  <si>
    <t>Measurements based on M-433</t>
    <phoneticPr fontId="10" type="noConversion"/>
  </si>
  <si>
    <t>M-295 &amp; M-296</t>
    <phoneticPr fontId="10" type="noConversion"/>
  </si>
  <si>
    <t>M-297 &amp; M-298</t>
    <phoneticPr fontId="10" type="noConversion"/>
  </si>
  <si>
    <t>M-299</t>
    <phoneticPr fontId="10" type="noConversion"/>
  </si>
  <si>
    <t>M-300</t>
    <phoneticPr fontId="10" type="noConversion"/>
  </si>
  <si>
    <t>M-301</t>
    <phoneticPr fontId="10" type="noConversion"/>
  </si>
  <si>
    <t>M-168 through M-174 are calibration photos for the new Canon camera system</t>
    <phoneticPr fontId="10" type="noConversion"/>
  </si>
  <si>
    <t>Width measures from ventral abdomen to dorsal elytron</t>
    <phoneticPr fontId="10" type="noConversion"/>
  </si>
  <si>
    <t>Measurements based on M-244</t>
    <phoneticPr fontId="10" type="noConversion"/>
  </si>
  <si>
    <t>Width based on the abdomen, which is the only well-constrained area of the body</t>
    <phoneticPr fontId="10" type="noConversion"/>
  </si>
  <si>
    <t>Measurements based on M-253</t>
    <phoneticPr fontId="10" type="noConversion"/>
  </si>
  <si>
    <t>The length of the wing is reasonably complete</t>
    <phoneticPr fontId="10" type="noConversion"/>
  </si>
  <si>
    <t>Measurements based on M-297</t>
    <phoneticPr fontId="10" type="noConversion"/>
  </si>
  <si>
    <t>Measurements based on M-274</t>
    <phoneticPr fontId="10" type="noConversion"/>
  </si>
  <si>
    <t>Measurements based on M-231</t>
    <phoneticPr fontId="10" type="noConversion"/>
  </si>
  <si>
    <t>Measurements based on M-251</t>
    <phoneticPr fontId="10" type="noConversion"/>
  </si>
  <si>
    <t>Measurements based on M-262</t>
    <phoneticPr fontId="10" type="noConversion"/>
  </si>
  <si>
    <t>UCM77140a+b</t>
    <phoneticPr fontId="10" type="noConversion"/>
  </si>
  <si>
    <t>Gryllidae</t>
    <phoneticPr fontId="10" type="noConversion"/>
  </si>
  <si>
    <t>Measurements based on M-411</t>
    <phoneticPr fontId="10" type="noConversion"/>
  </si>
  <si>
    <t>M-562</t>
    <phoneticPr fontId="10" type="noConversion"/>
  </si>
  <si>
    <t>M-563 &amp; M-564</t>
    <phoneticPr fontId="10" type="noConversion"/>
  </si>
  <si>
    <t>M-565</t>
    <phoneticPr fontId="10" type="noConversion"/>
  </si>
  <si>
    <t>M-566</t>
    <phoneticPr fontId="10" type="noConversion"/>
  </si>
  <si>
    <t>M-567</t>
    <phoneticPr fontId="10" type="noConversion"/>
  </si>
  <si>
    <t>Abdomen width and terminus difficult to determine</t>
    <phoneticPr fontId="10" type="noConversion"/>
  </si>
  <si>
    <t>M-467 &amp; M-468</t>
    <phoneticPr fontId="10" type="noConversion"/>
  </si>
  <si>
    <t>M-469 &amp; M-470</t>
    <phoneticPr fontId="10" type="noConversion"/>
  </si>
  <si>
    <t>Measurements based on M-356; abdominal terminus difficult to ascertain</t>
    <phoneticPr fontId="10" type="noConversion"/>
  </si>
  <si>
    <t>Measurments based on M-362</t>
    <phoneticPr fontId="10" type="noConversion"/>
  </si>
  <si>
    <t>Measurements based on M-408</t>
    <phoneticPr fontId="10" type="noConversion"/>
  </si>
  <si>
    <t>Measurements based on M-407</t>
    <phoneticPr fontId="10" type="noConversion"/>
  </si>
  <si>
    <t>Chironomidae(?)</t>
    <phoneticPr fontId="10" type="noConversion"/>
  </si>
  <si>
    <t>M-569</t>
    <phoneticPr fontId="10" type="noConversion"/>
  </si>
  <si>
    <t>M-570</t>
    <phoneticPr fontId="10" type="noConversion"/>
  </si>
  <si>
    <t>UCM72646a+b</t>
    <phoneticPr fontId="10" type="noConversion"/>
  </si>
  <si>
    <t>UCM72647a+b</t>
    <phoneticPr fontId="10" type="noConversion"/>
  </si>
  <si>
    <t>M-471 &amp; M-472</t>
    <phoneticPr fontId="10" type="noConversion"/>
  </si>
  <si>
    <t>M-473 &amp; M-474</t>
    <phoneticPr fontId="10" type="noConversion"/>
  </si>
  <si>
    <t>M-475 &amp; M-476</t>
    <phoneticPr fontId="10" type="noConversion"/>
  </si>
  <si>
    <t>M-424 &amp; M-499</t>
    <phoneticPr fontId="10" type="noConversion"/>
  </si>
  <si>
    <t>M-425 &amp; M-500</t>
    <phoneticPr fontId="10" type="noConversion"/>
  </si>
  <si>
    <t>Measurements based on M-406</t>
    <phoneticPr fontId="10" type="noConversion"/>
  </si>
  <si>
    <t>UCM76527a+b</t>
    <phoneticPr fontId="10" type="noConversion"/>
  </si>
  <si>
    <t>M-452 &amp; M-455</t>
    <phoneticPr fontId="10" type="noConversion"/>
  </si>
  <si>
    <t>M-452 to M-457</t>
    <phoneticPr fontId="10" type="noConversion"/>
  </si>
  <si>
    <t>M-458</t>
    <phoneticPr fontId="10" type="noConversion"/>
  </si>
  <si>
    <t>M-450 &amp; M-451</t>
    <phoneticPr fontId="10" type="noConversion"/>
  </si>
  <si>
    <t>M-448 &amp; M-449</t>
    <phoneticPr fontId="10" type="noConversion"/>
  </si>
  <si>
    <t>M-269</t>
    <phoneticPr fontId="10" type="noConversion"/>
  </si>
  <si>
    <t>M-270</t>
    <phoneticPr fontId="10" type="noConversion"/>
  </si>
  <si>
    <t>M-271</t>
    <phoneticPr fontId="10" type="noConversion"/>
  </si>
  <si>
    <t>M-477 &amp; M-478</t>
    <phoneticPr fontId="10" type="noConversion"/>
  </si>
  <si>
    <t>M-479</t>
    <phoneticPr fontId="10" type="noConversion"/>
  </si>
  <si>
    <t>M-480</t>
    <phoneticPr fontId="10" type="noConversion"/>
  </si>
  <si>
    <t>M-481</t>
    <phoneticPr fontId="10" type="noConversion"/>
  </si>
  <si>
    <t>M-482</t>
    <phoneticPr fontId="10" type="noConversion"/>
  </si>
  <si>
    <t>M-483</t>
    <phoneticPr fontId="10" type="noConversion"/>
  </si>
  <si>
    <t>UCM76005a+b</t>
    <phoneticPr fontId="10" type="noConversion"/>
  </si>
  <si>
    <t>UCM76006a+b</t>
    <phoneticPr fontId="10" type="noConversion"/>
  </si>
  <si>
    <t>Measurements based on M-378</t>
    <phoneticPr fontId="10" type="noConversion"/>
  </si>
  <si>
    <t>M-577 &amp; M-578</t>
    <phoneticPr fontId="10" type="noConversion"/>
  </si>
  <si>
    <t>M-579 &amp; M-580</t>
    <phoneticPr fontId="10" type="noConversion"/>
  </si>
  <si>
    <t>M-648</t>
    <phoneticPr fontId="10" type="noConversion"/>
  </si>
  <si>
    <t>M-649</t>
    <phoneticPr fontId="10" type="noConversion"/>
  </si>
  <si>
    <t>UCM77157</t>
    <phoneticPr fontId="10" type="noConversion"/>
  </si>
  <si>
    <t>Curculionoidea</t>
    <phoneticPr fontId="10" type="noConversion"/>
  </si>
  <si>
    <t>M-650</t>
    <phoneticPr fontId="10" type="noConversion"/>
  </si>
  <si>
    <t>UCM77158</t>
    <phoneticPr fontId="10" type="noConversion"/>
  </si>
  <si>
    <t>Length could be greater, but obscured in shadow</t>
    <phoneticPr fontId="10" type="noConversion"/>
  </si>
  <si>
    <t>Mycetophilidae</t>
    <phoneticPr fontId="10" type="noConversion"/>
  </si>
  <si>
    <t>Measuremenst based on M-398</t>
    <phoneticPr fontId="10" type="noConversion"/>
  </si>
  <si>
    <t>Bibionidae(?)</t>
    <phoneticPr fontId="10" type="noConversion"/>
  </si>
  <si>
    <t>M-591</t>
    <phoneticPr fontId="10" type="noConversion"/>
  </si>
  <si>
    <t>M-592</t>
    <phoneticPr fontId="10" type="noConversion"/>
  </si>
  <si>
    <t>Measurements based on M-440</t>
    <phoneticPr fontId="10" type="noConversion"/>
  </si>
  <si>
    <t>Measurements based on M-443</t>
    <phoneticPr fontId="10" type="noConversion"/>
  </si>
  <si>
    <t>Measurements based on M-448</t>
    <phoneticPr fontId="10" type="noConversion"/>
  </si>
  <si>
    <t>Measurements based on M-475</t>
    <phoneticPr fontId="10" type="noConversion"/>
  </si>
  <si>
    <t>Measurements based on M-389</t>
    <phoneticPr fontId="10" type="noConversion"/>
  </si>
  <si>
    <t>Measurements based on M-400; M-401 supplied the estimated abdomen tip</t>
    <phoneticPr fontId="10" type="noConversion"/>
  </si>
  <si>
    <t>M-526 &amp; M-527</t>
    <phoneticPr fontId="10" type="noConversion"/>
  </si>
  <si>
    <t>Muscomorpha</t>
    <phoneticPr fontId="10" type="noConversion"/>
  </si>
  <si>
    <t>Measurements based on M-460</t>
    <phoneticPr fontId="10" type="noConversion"/>
  </si>
  <si>
    <t>Measurements based on M-466</t>
    <phoneticPr fontId="10" type="noConversion"/>
  </si>
  <si>
    <t>Measurements based on M-358</t>
    <phoneticPr fontId="10" type="noConversion"/>
  </si>
  <si>
    <t>M-613</t>
    <phoneticPr fontId="10" type="noConversion"/>
  </si>
  <si>
    <t>M-614</t>
    <phoneticPr fontId="10" type="noConversion"/>
  </si>
  <si>
    <t>M-615</t>
    <phoneticPr fontId="10" type="noConversion"/>
  </si>
  <si>
    <t>Measurements based on M-450</t>
    <phoneticPr fontId="10" type="noConversion"/>
  </si>
  <si>
    <t>Measurements based on M-452; abdomen terminus hard to determine</t>
    <phoneticPr fontId="10" type="noConversion"/>
  </si>
  <si>
    <t>UCM76053a+c</t>
    <phoneticPr fontId="10" type="noConversion"/>
  </si>
  <si>
    <t>M-601 &amp; M-602</t>
    <phoneticPr fontId="10" type="noConversion"/>
  </si>
  <si>
    <t>M-603 &amp; M-604</t>
    <phoneticPr fontId="10" type="noConversion"/>
  </si>
  <si>
    <t>M-605</t>
    <phoneticPr fontId="10" type="noConversion"/>
  </si>
  <si>
    <t>M-606</t>
    <phoneticPr fontId="10" type="noConversion"/>
  </si>
  <si>
    <t>M-607</t>
    <phoneticPr fontId="10" type="noConversion"/>
  </si>
  <si>
    <t>M-608</t>
    <phoneticPr fontId="10" type="noConversion"/>
  </si>
  <si>
    <t>L</t>
    <phoneticPr fontId="10" type="noConversion"/>
  </si>
  <si>
    <t>H+T+A</t>
    <phoneticPr fontId="10" type="noConversion"/>
  </si>
  <si>
    <t>UCM77153</t>
    <phoneticPr fontId="10" type="noConversion"/>
  </si>
  <si>
    <t>M-616</t>
    <phoneticPr fontId="10" type="noConversion"/>
  </si>
  <si>
    <t>M-644</t>
    <phoneticPr fontId="10" type="noConversion"/>
  </si>
  <si>
    <t>M-645</t>
    <phoneticPr fontId="10" type="noConversion"/>
  </si>
  <si>
    <t>M-646</t>
    <phoneticPr fontId="10" type="noConversion"/>
  </si>
  <si>
    <t>UCM77154</t>
    <phoneticPr fontId="10" type="noConversion"/>
  </si>
  <si>
    <t>Wing hard to measure</t>
    <phoneticPr fontId="10" type="noConversion"/>
  </si>
  <si>
    <t>Measurements based on M-533</t>
    <phoneticPr fontId="10" type="noConversion"/>
  </si>
  <si>
    <t>UCM77133c+e</t>
    <phoneticPr fontId="10" type="noConversion"/>
  </si>
  <si>
    <t>M-461 &amp; M-462</t>
    <phoneticPr fontId="10" type="noConversion"/>
  </si>
  <si>
    <t>M-463 &amp; M-464</t>
    <phoneticPr fontId="10" type="noConversion"/>
  </si>
  <si>
    <t>M-465 &amp; M-466</t>
    <phoneticPr fontId="10" type="noConversion"/>
  </si>
  <si>
    <t>Measurements based on M-367</t>
    <phoneticPr fontId="10" type="noConversion"/>
  </si>
  <si>
    <t>Measurements based on M-510; M-509 could be longer but far fainter</t>
    <phoneticPr fontId="10" type="noConversion"/>
  </si>
  <si>
    <t>Measurements based on M-473; dimensions hard to discern</t>
    <phoneticPr fontId="10" type="noConversion"/>
  </si>
  <si>
    <t>M-484 to M-489</t>
    <phoneticPr fontId="10" type="noConversion"/>
  </si>
  <si>
    <t>M-490 to M-493</t>
    <phoneticPr fontId="10" type="noConversion"/>
  </si>
  <si>
    <t>M-494</t>
    <phoneticPr fontId="10" type="noConversion"/>
  </si>
  <si>
    <t>M-495 &amp; M-496</t>
    <phoneticPr fontId="10" type="noConversion"/>
  </si>
  <si>
    <t>M-497 &amp; M-498</t>
    <phoneticPr fontId="10" type="noConversion"/>
  </si>
  <si>
    <t>UCM76052a+c</t>
    <phoneticPr fontId="10" type="noConversion"/>
  </si>
  <si>
    <t>Width probably greater, but wider parts faint or ambiguous</t>
    <phoneticPr fontId="10" type="noConversion"/>
  </si>
  <si>
    <t>Measurements based on M-663</t>
    <phoneticPr fontId="10" type="noConversion"/>
  </si>
  <si>
    <t>Measurements based on M-673; length obscured by elytron</t>
    <phoneticPr fontId="10" type="noConversion"/>
  </si>
  <si>
    <t>Length does not include separated abdomen; measurements based on M-683</t>
    <phoneticPr fontId="10" type="noConversion"/>
  </si>
  <si>
    <t>M-501</t>
    <phoneticPr fontId="10" type="noConversion"/>
  </si>
  <si>
    <t>Measurements based on M-425</t>
    <phoneticPr fontId="10" type="noConversion"/>
  </si>
  <si>
    <t>UCM76528a+b</t>
    <phoneticPr fontId="10" type="noConversion"/>
  </si>
  <si>
    <t>M-502</t>
    <phoneticPr fontId="10" type="noConversion"/>
  </si>
  <si>
    <t>M-459 &amp; M-460</t>
    <phoneticPr fontId="10" type="noConversion"/>
  </si>
  <si>
    <t>M-509 &amp; M-510</t>
    <phoneticPr fontId="10" type="noConversion"/>
  </si>
  <si>
    <t>M-511 &amp; M-512</t>
    <phoneticPr fontId="10" type="noConversion"/>
  </si>
  <si>
    <t>M-513 &amp; M-514</t>
    <phoneticPr fontId="10" type="noConversion"/>
  </si>
  <si>
    <t>M-515 &amp; M-516</t>
    <phoneticPr fontId="10" type="noConversion"/>
  </si>
  <si>
    <t>M-517</t>
    <phoneticPr fontId="10" type="noConversion"/>
  </si>
  <si>
    <t>Measurements based on M-366, not including the discombobulated head</t>
    <phoneticPr fontId="10" type="noConversion"/>
  </si>
  <si>
    <t>Measurements based on M-381</t>
    <phoneticPr fontId="10" type="noConversion"/>
  </si>
  <si>
    <t>Measurements based on M-387; continued across the gap between thorax and abdomen</t>
    <phoneticPr fontId="10" type="noConversion"/>
  </si>
  <si>
    <t>Measurements based on M-410</t>
    <phoneticPr fontId="10" type="noConversion"/>
  </si>
  <si>
    <t>Measurements based on M-409</t>
    <phoneticPr fontId="10" type="noConversion"/>
  </si>
  <si>
    <t>Measurements based on M-415</t>
    <phoneticPr fontId="10" type="noConversion"/>
  </si>
  <si>
    <t>Abdomen terminus difficult to ascertain</t>
    <phoneticPr fontId="10" type="noConversion"/>
  </si>
  <si>
    <t>Measurements based on M-462</t>
    <phoneticPr fontId="10" type="noConversion"/>
  </si>
  <si>
    <t>Measurements based on M-467</t>
    <phoneticPr fontId="10" type="noConversion"/>
  </si>
  <si>
    <t>Measurements based on M-468</t>
    <phoneticPr fontId="10" type="noConversion"/>
  </si>
  <si>
    <t>Measurements based on M-472</t>
    <phoneticPr fontId="10" type="noConversion"/>
  </si>
  <si>
    <t>Width hard to say due to faintness</t>
    <phoneticPr fontId="10" type="noConversion"/>
  </si>
  <si>
    <t>Measurements based on M-580</t>
    <phoneticPr fontId="10" type="noConversion"/>
  </si>
  <si>
    <t>Measurements based on M-603</t>
    <phoneticPr fontId="10" type="noConversion"/>
  </si>
  <si>
    <t>Length and width are best guesses, borders poorly defined</t>
    <phoneticPr fontId="10" type="noConversion"/>
  </si>
  <si>
    <t>In this case, height serves as length</t>
    <phoneticPr fontId="10" type="noConversion"/>
  </si>
  <si>
    <t>Cecidomyiidae</t>
    <phoneticPr fontId="10" type="noConversion"/>
  </si>
  <si>
    <t>H+T+W+A</t>
    <phoneticPr fontId="10" type="noConversion"/>
  </si>
  <si>
    <t>Width difficult to measure, borders very faint</t>
    <phoneticPr fontId="10" type="noConversion"/>
  </si>
  <si>
    <t>UCM77156</t>
    <phoneticPr fontId="10" type="noConversion"/>
  </si>
  <si>
    <t>Blattodea</t>
    <phoneticPr fontId="10" type="noConversion"/>
  </si>
  <si>
    <t>DV</t>
    <phoneticPr fontId="10" type="noConversion"/>
  </si>
  <si>
    <t>H+T+A</t>
    <phoneticPr fontId="10" type="noConversion"/>
  </si>
  <si>
    <t>M-568</t>
    <phoneticPr fontId="10" type="noConversion"/>
  </si>
  <si>
    <t>Measurements based on M-623; width based on some light preservation</t>
    <phoneticPr fontId="10" type="noConversion"/>
  </si>
  <si>
    <t>Measurements based on M-627; measurements based on wing</t>
    <phoneticPr fontId="10" type="noConversion"/>
  </si>
  <si>
    <t>M-573 &amp; M-574</t>
    <phoneticPr fontId="10" type="noConversion"/>
  </si>
  <si>
    <t>M-574</t>
    <phoneticPr fontId="10" type="noConversion"/>
  </si>
  <si>
    <t>M-575 &amp; M-576</t>
    <phoneticPr fontId="10" type="noConversion"/>
  </si>
  <si>
    <t>M-577 &amp; M-576</t>
    <phoneticPr fontId="10" type="noConversion"/>
  </si>
  <si>
    <t>M-647</t>
    <phoneticPr fontId="10" type="noConversion"/>
  </si>
  <si>
    <t>Measurements based on M-746</t>
    <phoneticPr fontId="10" type="noConversion"/>
  </si>
  <si>
    <t>Measurements based on M-750; length does not include ovipositor</t>
    <phoneticPr fontId="10" type="noConversion"/>
  </si>
  <si>
    <t>DV</t>
    <phoneticPr fontId="10" type="noConversion"/>
  </si>
  <si>
    <t>E</t>
    <phoneticPr fontId="10" type="noConversion"/>
  </si>
  <si>
    <t>Tipuloidea</t>
    <phoneticPr fontId="10" type="noConversion"/>
  </si>
  <si>
    <t>Measurements based on M-463</t>
    <phoneticPr fontId="10" type="noConversion"/>
  </si>
  <si>
    <t>Measurements based on M-363</t>
    <phoneticPr fontId="10" type="noConversion"/>
  </si>
  <si>
    <t>Measurements based on M-369</t>
    <phoneticPr fontId="10" type="noConversion"/>
  </si>
  <si>
    <t>M-520</t>
    <phoneticPr fontId="10" type="noConversion"/>
  </si>
  <si>
    <t>M-521</t>
    <phoneticPr fontId="10" type="noConversion"/>
  </si>
  <si>
    <t>Diptera</t>
    <phoneticPr fontId="10" type="noConversion"/>
  </si>
  <si>
    <t>M-522</t>
    <phoneticPr fontId="10" type="noConversion"/>
  </si>
  <si>
    <t>M-523</t>
    <phoneticPr fontId="10" type="noConversion"/>
  </si>
  <si>
    <t>M-524</t>
    <phoneticPr fontId="10" type="noConversion"/>
  </si>
  <si>
    <t>M-525</t>
    <phoneticPr fontId="10" type="noConversion"/>
  </si>
  <si>
    <t>M-528</t>
    <phoneticPr fontId="10" type="noConversion"/>
  </si>
  <si>
    <t>M-529 &amp; M-530</t>
    <phoneticPr fontId="10" type="noConversion"/>
  </si>
  <si>
    <t>M-531</t>
    <phoneticPr fontId="10" type="noConversion"/>
  </si>
  <si>
    <t>M-532</t>
    <phoneticPr fontId="10" type="noConversion"/>
  </si>
  <si>
    <t>M-535</t>
    <phoneticPr fontId="10" type="noConversion"/>
  </si>
  <si>
    <t>M-536</t>
    <phoneticPr fontId="10" type="noConversion"/>
  </si>
  <si>
    <t>M-537</t>
    <phoneticPr fontId="10" type="noConversion"/>
  </si>
  <si>
    <t>M-538</t>
    <phoneticPr fontId="10" type="noConversion"/>
  </si>
  <si>
    <t>M-539</t>
    <phoneticPr fontId="10" type="noConversion"/>
  </si>
  <si>
    <t>M-540</t>
    <phoneticPr fontId="10" type="noConversion"/>
  </si>
  <si>
    <t>Sciaroidea</t>
    <phoneticPr fontId="10" type="noConversion"/>
  </si>
  <si>
    <t>M-541</t>
    <phoneticPr fontId="10" type="noConversion"/>
  </si>
  <si>
    <t>Tipulidae</t>
    <phoneticPr fontId="10" type="noConversion"/>
  </si>
  <si>
    <t>M-542</t>
    <phoneticPr fontId="10" type="noConversion"/>
  </si>
  <si>
    <t>M-543</t>
    <phoneticPr fontId="10" type="noConversion"/>
  </si>
  <si>
    <t>M-544</t>
    <phoneticPr fontId="10" type="noConversion"/>
  </si>
  <si>
    <t>M-546</t>
    <phoneticPr fontId="10" type="noConversion"/>
  </si>
  <si>
    <t>M-547</t>
    <phoneticPr fontId="10" type="noConversion"/>
  </si>
  <si>
    <t>M-548</t>
    <phoneticPr fontId="10" type="noConversion"/>
  </si>
  <si>
    <t>M-549</t>
    <phoneticPr fontId="10" type="noConversion"/>
  </si>
  <si>
    <t>Sciaroidea(?)</t>
    <phoneticPr fontId="10" type="noConversion"/>
  </si>
  <si>
    <t>M-550</t>
    <phoneticPr fontId="10" type="noConversion"/>
  </si>
  <si>
    <t>M-551</t>
    <phoneticPr fontId="10" type="noConversion"/>
  </si>
  <si>
    <t>M-553</t>
    <phoneticPr fontId="10" type="noConversion"/>
  </si>
  <si>
    <t>M-554</t>
    <phoneticPr fontId="10" type="noConversion"/>
  </si>
  <si>
    <t>Bibionidae</t>
    <phoneticPr fontId="10" type="noConversion"/>
  </si>
  <si>
    <t>M-555</t>
    <phoneticPr fontId="10" type="noConversion"/>
  </si>
  <si>
    <t>M-556</t>
    <phoneticPr fontId="10" type="noConversion"/>
  </si>
  <si>
    <t>M-609</t>
    <phoneticPr fontId="10" type="noConversion"/>
  </si>
  <si>
    <t>M-610</t>
    <phoneticPr fontId="10" type="noConversion"/>
  </si>
  <si>
    <t>M-611</t>
    <phoneticPr fontId="10" type="noConversion"/>
  </si>
  <si>
    <t>M-612</t>
    <phoneticPr fontId="10" type="noConversion"/>
  </si>
  <si>
    <t>M-617</t>
    <phoneticPr fontId="10" type="noConversion"/>
  </si>
  <si>
    <t>M-618</t>
    <phoneticPr fontId="10" type="noConversion"/>
  </si>
  <si>
    <t>M-619</t>
    <phoneticPr fontId="10" type="noConversion"/>
  </si>
  <si>
    <t>M-620</t>
    <phoneticPr fontId="10" type="noConversion"/>
  </si>
  <si>
    <t>M-621</t>
    <phoneticPr fontId="10" type="noConversion"/>
  </si>
  <si>
    <t>Measurements based on M-578</t>
    <phoneticPr fontId="10" type="noConversion"/>
  </si>
  <si>
    <t>M-597 &amp; M-598</t>
    <phoneticPr fontId="10" type="noConversion"/>
  </si>
  <si>
    <t>M-585</t>
    <phoneticPr fontId="10" type="noConversion"/>
  </si>
  <si>
    <t>M-599 &amp; M-600</t>
    <phoneticPr fontId="10" type="noConversion"/>
  </si>
  <si>
    <t>M-622 &amp; M-623</t>
    <phoneticPr fontId="10" type="noConversion"/>
  </si>
  <si>
    <t>Tipulidae</t>
    <phoneticPr fontId="10" type="noConversion"/>
  </si>
  <si>
    <t>M-624</t>
    <phoneticPr fontId="10" type="noConversion"/>
  </si>
  <si>
    <t>M-625 &amp; M-626</t>
    <phoneticPr fontId="10" type="noConversion"/>
  </si>
  <si>
    <t>M-627 &amp; M-628</t>
    <phoneticPr fontId="10" type="noConversion"/>
  </si>
  <si>
    <t>M-629</t>
    <phoneticPr fontId="10" type="noConversion"/>
  </si>
  <si>
    <t>M-630</t>
    <phoneticPr fontId="10" type="noConversion"/>
  </si>
  <si>
    <t>M-631</t>
    <phoneticPr fontId="10" type="noConversion"/>
  </si>
  <si>
    <t>M-632</t>
    <phoneticPr fontId="10" type="noConversion"/>
  </si>
  <si>
    <t>Mycetophilidae(?)</t>
    <phoneticPr fontId="10" type="noConversion"/>
  </si>
  <si>
    <t>UCM77151</t>
    <phoneticPr fontId="10" type="noConversion"/>
  </si>
  <si>
    <t>Diptera</t>
    <phoneticPr fontId="10" type="noConversion"/>
  </si>
  <si>
    <t>T</t>
    <phoneticPr fontId="10" type="noConversion"/>
  </si>
  <si>
    <t>H+T+W+A</t>
    <phoneticPr fontId="10" type="noConversion"/>
  </si>
  <si>
    <t>Staphylinidae</t>
    <phoneticPr fontId="10" type="noConversion"/>
  </si>
  <si>
    <t>UCM77152</t>
    <phoneticPr fontId="10" type="noConversion"/>
  </si>
  <si>
    <t>Diptera(?)</t>
    <phoneticPr fontId="10" type="noConversion"/>
  </si>
  <si>
    <t>T</t>
    <phoneticPr fontId="10" type="noConversion"/>
  </si>
  <si>
    <t>Measurements based on M-702</t>
    <phoneticPr fontId="10" type="noConversion"/>
  </si>
  <si>
    <t>Measurement goes across a small gap between head and thorax</t>
    <phoneticPr fontId="10" type="noConversion"/>
  </si>
  <si>
    <t>Measurements based on M-652; length in particular difficult to ascertain</t>
    <phoneticPr fontId="10" type="noConversion"/>
  </si>
  <si>
    <t>M-504</t>
    <phoneticPr fontId="10" type="noConversion"/>
  </si>
  <si>
    <t>Measurements based on M-470</t>
    <phoneticPr fontId="10" type="noConversion"/>
  </si>
  <si>
    <t>Measurements based on M-526</t>
    <phoneticPr fontId="10" type="noConversion"/>
  </si>
  <si>
    <t>M-545</t>
    <phoneticPr fontId="10" type="noConversion"/>
  </si>
  <si>
    <t>M-503</t>
    <phoneticPr fontId="10" type="noConversion"/>
  </si>
  <si>
    <t>M-508</t>
    <phoneticPr fontId="10" type="noConversion"/>
  </si>
  <si>
    <t>Measurements based on M-558</t>
    <phoneticPr fontId="10" type="noConversion"/>
  </si>
  <si>
    <t>Width proved difficult to measure</t>
    <phoneticPr fontId="10" type="noConversion"/>
  </si>
  <si>
    <t>Measurements based on M-514</t>
    <phoneticPr fontId="10" type="noConversion"/>
  </si>
  <si>
    <t>Measurements based on M-516; head anterior hard to see</t>
    <phoneticPr fontId="10" type="noConversion"/>
  </si>
  <si>
    <t>Length difficult to determine</t>
    <phoneticPr fontId="10" type="noConversion"/>
  </si>
  <si>
    <t>Length artificially low, given excavated thorax</t>
    <phoneticPr fontId="10" type="noConversion"/>
  </si>
  <si>
    <t>Measurements based on M-573</t>
    <phoneticPr fontId="10" type="noConversion"/>
  </si>
  <si>
    <t>Measurements based on M-552</t>
    <phoneticPr fontId="10" type="noConversion"/>
  </si>
  <si>
    <t>Measurements based on M-564</t>
    <phoneticPr fontId="10" type="noConversion"/>
  </si>
  <si>
    <t>Measured along the longest and widest portions of a single leg</t>
    <phoneticPr fontId="10" type="noConversion"/>
  </si>
  <si>
    <t>Extremely faint, making the width difficult to determine</t>
    <phoneticPr fontId="10" type="noConversion"/>
  </si>
  <si>
    <t>M-593</t>
    <phoneticPr fontId="10" type="noConversion"/>
  </si>
  <si>
    <t>M-594</t>
    <phoneticPr fontId="10" type="noConversion"/>
  </si>
  <si>
    <t>M-595</t>
    <phoneticPr fontId="10" type="noConversion"/>
  </si>
  <si>
    <t>M-596</t>
    <phoneticPr fontId="10" type="noConversion"/>
  </si>
  <si>
    <t>M-560</t>
    <phoneticPr fontId="10" type="noConversion"/>
  </si>
  <si>
    <t>UCM72673a+b</t>
    <phoneticPr fontId="10" type="noConversion"/>
  </si>
  <si>
    <t>M-552 &amp; M-561</t>
    <phoneticPr fontId="10" type="noConversion"/>
  </si>
  <si>
    <t>Measurements based on M-626</t>
    <phoneticPr fontId="10" type="noConversion"/>
  </si>
  <si>
    <t>Measurements based on M-637</t>
    <phoneticPr fontId="10" type="noConversion"/>
  </si>
  <si>
    <t>Measurements based on M-589, do not jump the gap</t>
    <phoneticPr fontId="10" type="noConversion"/>
  </si>
  <si>
    <t>Measurements based on M-662</t>
    <phoneticPr fontId="10" type="noConversion"/>
  </si>
  <si>
    <t>Measurements based on M-573; length measured across a gap</t>
    <phoneticPr fontId="10" type="noConversion"/>
  </si>
  <si>
    <t>Measurements based on M-573</t>
    <phoneticPr fontId="10" type="noConversion"/>
  </si>
  <si>
    <t>Measurements based on the M-490 composite</t>
    <phoneticPr fontId="10" type="noConversion"/>
  </si>
  <si>
    <t>Measurements based on M-602 due to better focus</t>
    <phoneticPr fontId="10" type="noConversion"/>
  </si>
  <si>
    <t>Width difficult to measure; faint and glazed over (accidentially)</t>
    <phoneticPr fontId="10" type="noConversion"/>
  </si>
  <si>
    <t>H+T+W+A</t>
    <phoneticPr fontId="10" type="noConversion"/>
  </si>
  <si>
    <t>Measurements based on M-670; outline hard to see</t>
    <phoneticPr fontId="10" type="noConversion"/>
  </si>
  <si>
    <t>Length based on the outline of the abdomen; measurements based on M-680</t>
    <phoneticPr fontId="10" type="noConversion"/>
  </si>
  <si>
    <t>Measurements based on M-693</t>
    <phoneticPr fontId="10" type="noConversion"/>
  </si>
  <si>
    <t>Measurements based on M-693; poor preservation quality necessitates these are a best guess</t>
    <phoneticPr fontId="10" type="noConversion"/>
  </si>
  <si>
    <t>Length not entirely confined within undulations of antenna</t>
    <phoneticPr fontId="10" type="noConversion"/>
  </si>
  <si>
    <t>Measurements based on M-706</t>
    <phoneticPr fontId="10" type="noConversion"/>
  </si>
  <si>
    <t>Measurements based on M-726</t>
    <phoneticPr fontId="10" type="noConversion"/>
  </si>
  <si>
    <t>UCM77155</t>
    <phoneticPr fontId="10" type="noConversion"/>
  </si>
  <si>
    <t>Dimensions an educated guess; measurements based on M-741</t>
    <phoneticPr fontId="10" type="noConversion"/>
  </si>
  <si>
    <t>Curculionidae</t>
    <phoneticPr fontId="10" type="noConversion"/>
  </si>
  <si>
    <t>T+A</t>
    <phoneticPr fontId="10" type="noConversion"/>
  </si>
  <si>
    <t>Measurements based on M-639</t>
    <phoneticPr fontId="10" type="noConversion"/>
  </si>
  <si>
    <t>M-518</t>
    <phoneticPr fontId="10" type="noConversion"/>
  </si>
  <si>
    <t>M-519</t>
    <phoneticPr fontId="10" type="noConversion"/>
  </si>
  <si>
    <t>Measurements based on M-586</t>
    <phoneticPr fontId="10" type="noConversion"/>
  </si>
  <si>
    <t>Length consists mostly of femur due to leg kinking</t>
    <phoneticPr fontId="10" type="noConversion"/>
  </si>
  <si>
    <t>Abdomen measured across a gap that probably does not involve much displacement</t>
    <phoneticPr fontId="10" type="noConversion"/>
  </si>
  <si>
    <t>M-633</t>
    <phoneticPr fontId="10" type="noConversion"/>
  </si>
  <si>
    <t>M-634</t>
    <phoneticPr fontId="10" type="noConversion"/>
  </si>
  <si>
    <t>M-635</t>
    <phoneticPr fontId="10" type="noConversion"/>
  </si>
  <si>
    <t>M-636</t>
    <phoneticPr fontId="10" type="noConversion"/>
  </si>
  <si>
    <t>Mesurements based on M-571</t>
    <phoneticPr fontId="10" type="noConversion"/>
  </si>
  <si>
    <t>Measurements based on the M-417 composite</t>
    <phoneticPr fontId="10" type="noConversion"/>
  </si>
  <si>
    <t>Measurements based on the M-452 composite</t>
    <phoneticPr fontId="10" type="noConversion"/>
  </si>
  <si>
    <t>M-533 &amp; M-534</t>
    <phoneticPr fontId="10" type="noConversion"/>
  </si>
  <si>
    <t>M-637 &amp; M-638</t>
    <phoneticPr fontId="10" type="noConversion"/>
  </si>
  <si>
    <t>M-639 &amp; M-640</t>
    <phoneticPr fontId="10" type="noConversion"/>
  </si>
  <si>
    <t>M-641</t>
    <phoneticPr fontId="10" type="noConversion"/>
  </si>
  <si>
    <t>M-642 &amp; M-643</t>
    <phoneticPr fontId="10" type="noConversion"/>
  </si>
  <si>
    <t>Measurements based on M-499</t>
    <phoneticPr fontId="10" type="noConversion"/>
  </si>
  <si>
    <t>Measurements based on M-600</t>
    <phoneticPr fontId="10" type="noConversion"/>
  </si>
  <si>
    <t>M-644</t>
    <phoneticPr fontId="10" type="noConversion"/>
  </si>
  <si>
    <t>Measurements based on M-597</t>
    <phoneticPr fontId="10" type="noConversion"/>
  </si>
  <si>
    <t>Measurements based on M-643</t>
    <phoneticPr fontId="10" type="noConversion"/>
  </si>
  <si>
    <t>Measurements based on M-735</t>
    <phoneticPr fontId="10" type="noConversion"/>
  </si>
  <si>
    <t>Measurements based on M-739</t>
    <phoneticPr fontId="10" type="noConversion"/>
  </si>
  <si>
    <t>Cecidomyiddae</t>
    <phoneticPr fontId="10" type="noConversion"/>
  </si>
  <si>
    <t>Measurements based on M-790; width difficult to measure since legs so closely folded to body</t>
    <phoneticPr fontId="10" type="noConversion"/>
  </si>
  <si>
    <t>M-571 &amp; M-572</t>
    <phoneticPr fontId="10" type="noConversion"/>
  </si>
  <si>
    <t>Measurements based on M-571</t>
    <phoneticPr fontId="10" type="noConversion"/>
  </si>
  <si>
    <t>Measurements are from discombobulated abdomen</t>
    <phoneticPr fontId="10" type="noConversion"/>
  </si>
  <si>
    <t>Measurements based on M-654</t>
    <phoneticPr fontId="10" type="noConversion"/>
  </si>
  <si>
    <t>Measurements based on M-660</t>
    <phoneticPr fontId="10" type="noConversion"/>
  </si>
  <si>
    <t>Width represents a best guess; measurements based on M-660</t>
    <phoneticPr fontId="10" type="noConversion"/>
  </si>
  <si>
    <t>Measurements based on the M-484 composite</t>
    <phoneticPr fontId="10" type="noConversion"/>
  </si>
  <si>
    <t>Length is of abdomen, width from thorax</t>
    <phoneticPr fontId="10" type="noConversion"/>
  </si>
  <si>
    <t>Thorax is wider, but nearly impossible to measure</t>
    <phoneticPr fontId="10" type="noConversion"/>
  </si>
  <si>
    <t>Sciaroidea</t>
    <phoneticPr fontId="10" type="noConversion"/>
  </si>
  <si>
    <t>H+T+A</t>
    <phoneticPr fontId="10" type="noConversion"/>
  </si>
  <si>
    <t>Width may include base of the hind legs</t>
    <phoneticPr fontId="10" type="noConversion"/>
  </si>
  <si>
    <t>Length an underestimate since it threads through the waist; measurements based on M-671</t>
    <phoneticPr fontId="10" type="noConversion"/>
  </si>
  <si>
    <t>Measurements based on M-678</t>
    <phoneticPr fontId="10" type="noConversion"/>
  </si>
  <si>
    <t>Measurement done with the elytra</t>
    <phoneticPr fontId="10" type="noConversion"/>
  </si>
  <si>
    <t>Length goes across a covering of the abdomen; measurements based on M-698</t>
    <phoneticPr fontId="10" type="noConversion"/>
  </si>
  <si>
    <t>Fuzzy boundary between body and wing make measurements difficult; length across gap</t>
    <phoneticPr fontId="10" type="noConversion"/>
  </si>
  <si>
    <t>M-505</t>
    <phoneticPr fontId="10" type="noConversion"/>
  </si>
  <si>
    <t>M-506</t>
    <phoneticPr fontId="10" type="noConversion"/>
  </si>
  <si>
    <t>Measurements based on M-511</t>
    <phoneticPr fontId="10" type="noConversion"/>
  </si>
  <si>
    <t>M-507</t>
    <phoneticPr fontId="10" type="noConversion"/>
  </si>
  <si>
    <t>Measurements based on M-529</t>
    <phoneticPr fontId="10" type="noConversion"/>
  </si>
  <si>
    <t>Measurements based on M-704</t>
    <phoneticPr fontId="10" type="noConversion"/>
  </si>
  <si>
    <t>Measurements based on M-676; length and width are of body, not wings</t>
    <phoneticPr fontId="10" type="noConversion"/>
  </si>
  <si>
    <t>Measurements based on M-682</t>
    <phoneticPr fontId="10" type="noConversion"/>
  </si>
  <si>
    <t>Measruements based on M-681</t>
    <phoneticPr fontId="10" type="noConversion"/>
  </si>
  <si>
    <t>As usual, width hard to determine; head begun behind pedipalps</t>
    <phoneticPr fontId="10" type="noConversion"/>
  </si>
  <si>
    <t>Measurements based on M-730; width a little dubious due to faintness</t>
    <phoneticPr fontId="10" type="noConversion"/>
  </si>
  <si>
    <t>Borders diffuse and faint, hard to measure</t>
    <phoneticPr fontId="10" type="noConversion"/>
  </si>
  <si>
    <t>Measurements based on M-657</t>
    <phoneticPr fontId="10" type="noConversion"/>
  </si>
  <si>
    <t>Measurements based on M-658</t>
    <phoneticPr fontId="10" type="noConversion"/>
  </si>
  <si>
    <t>Wing has a break, but seems to be just missing material</t>
    <phoneticPr fontId="10" type="noConversion"/>
  </si>
  <si>
    <t>Mycetophilidae</t>
    <phoneticPr fontId="10" type="noConversion"/>
  </si>
  <si>
    <t>Measurements based on M-653; length merges into neighboring insect</t>
    <phoneticPr fontId="10" type="noConversion"/>
  </si>
  <si>
    <t>Width on abdomen does not include overlying elytron</t>
    <phoneticPr fontId="10" type="noConversion"/>
  </si>
  <si>
    <t>Ugly specimen with diffuse boundaries</t>
    <phoneticPr fontId="10" type="noConversion"/>
  </si>
  <si>
    <t>Measurements based on M-665</t>
    <phoneticPr fontId="10" type="noConversion"/>
  </si>
  <si>
    <t>The width is a minimum estimate</t>
    <phoneticPr fontId="10" type="noConversion"/>
  </si>
  <si>
    <t>CP090820-1</t>
    <phoneticPr fontId="10" type="noConversion"/>
  </si>
  <si>
    <t>Coleoptera</t>
    <phoneticPr fontId="10" type="noConversion"/>
  </si>
  <si>
    <t>L</t>
    <phoneticPr fontId="10" type="noConversion"/>
  </si>
  <si>
    <t>H+T+A</t>
    <phoneticPr fontId="10" type="noConversion"/>
  </si>
  <si>
    <t>CP090820-2</t>
    <phoneticPr fontId="10" type="noConversion"/>
  </si>
  <si>
    <t>Difficult to measure the width due to extreme faintness</t>
    <phoneticPr fontId="10" type="noConversion"/>
  </si>
  <si>
    <t>Measurements based on M-695</t>
    <phoneticPr fontId="10" type="noConversion"/>
  </si>
  <si>
    <t>Diffuse boundaries make measurements difficult</t>
    <phoneticPr fontId="10" type="noConversion"/>
  </si>
  <si>
    <t>Measurements based on M-668</t>
    <phoneticPr fontId="10" type="noConversion"/>
  </si>
  <si>
    <t>Length and width both based on the visible body</t>
    <phoneticPr fontId="10" type="noConversion"/>
  </si>
  <si>
    <t>Berkeley-17a+b</t>
    <phoneticPr fontId="10" type="noConversion"/>
  </si>
  <si>
    <t>M-922</t>
    <phoneticPr fontId="10" type="noConversion"/>
  </si>
  <si>
    <t>M-957 &amp; M-958</t>
    <phoneticPr fontId="10" type="noConversion"/>
  </si>
  <si>
    <t>PacUn-149a+b</t>
    <phoneticPr fontId="10" type="noConversion"/>
  </si>
  <si>
    <t>M-959 to M-962</t>
    <phoneticPr fontId="10" type="noConversion"/>
  </si>
  <si>
    <t>2Tips-14a+b</t>
    <phoneticPr fontId="10" type="noConversion"/>
  </si>
  <si>
    <t>Length based on the distance to the anterior pronotum; could be longer</t>
    <phoneticPr fontId="10" type="noConversion"/>
  </si>
  <si>
    <t>M-967 &amp; M-968</t>
    <phoneticPr fontId="10" type="noConversion"/>
  </si>
  <si>
    <t>2Tips-56</t>
    <phoneticPr fontId="10" type="noConversion"/>
  </si>
  <si>
    <t>M-969</t>
    <phoneticPr fontId="10" type="noConversion"/>
  </si>
  <si>
    <t>H+P, T+A</t>
    <phoneticPr fontId="10" type="noConversion"/>
  </si>
  <si>
    <t>2Tips-245a+b</t>
    <phoneticPr fontId="10" type="noConversion"/>
  </si>
  <si>
    <t>Coleoptera</t>
    <phoneticPr fontId="10" type="noConversion"/>
  </si>
  <si>
    <t>M-970 &amp; M-971</t>
    <phoneticPr fontId="10" type="noConversion"/>
  </si>
  <si>
    <t>O</t>
    <phoneticPr fontId="10" type="noConversion"/>
  </si>
  <si>
    <t>Coleoptera</t>
    <phoneticPr fontId="10" type="noConversion"/>
  </si>
  <si>
    <t>T</t>
    <phoneticPr fontId="10" type="noConversion"/>
  </si>
  <si>
    <t>2Tips-248</t>
    <phoneticPr fontId="10" type="noConversion"/>
  </si>
  <si>
    <t>O</t>
    <phoneticPr fontId="10" type="noConversion"/>
  </si>
  <si>
    <t>Faintness makes dimenisons hard to measure, even with enhanced contrast; measurements based on M-734</t>
    <phoneticPr fontId="10" type="noConversion"/>
  </si>
  <si>
    <t>L</t>
    <phoneticPr fontId="10" type="noConversion"/>
  </si>
  <si>
    <t>Dimensions may not be the best due to extreme faintness</t>
    <phoneticPr fontId="10" type="noConversion"/>
  </si>
  <si>
    <t>Culicomorpha</t>
    <phoneticPr fontId="10" type="noConversion"/>
  </si>
  <si>
    <t>Terminalia included in length; measurements based on M-701</t>
    <phoneticPr fontId="10" type="noConversion"/>
  </si>
  <si>
    <t>Measurements based on M-701</t>
    <phoneticPr fontId="10" type="noConversion"/>
  </si>
  <si>
    <t>Length could be slightly greater, if mandibles are longer (to 4.3)</t>
    <phoneticPr fontId="10" type="noConversion"/>
  </si>
  <si>
    <t>Measurements based on M-575, though abdomen posterior is somewhat out of focus</t>
    <phoneticPr fontId="10" type="noConversion"/>
  </si>
  <si>
    <t>Measurements based on M-577</t>
    <phoneticPr fontId="10" type="noConversion"/>
  </si>
  <si>
    <t>Accidentially originally measured this on a higher magnification!</t>
    <phoneticPr fontId="10" type="noConversion"/>
  </si>
  <si>
    <t>Length measured across a contiguous gap</t>
    <phoneticPr fontId="10" type="noConversion"/>
  </si>
  <si>
    <t>Ventral extent of kataepisternum (for width) difficult to determine; measurements based on M-712</t>
    <phoneticPr fontId="10" type="noConversion"/>
  </si>
  <si>
    <t>Dimensions are highly dubious given faintness and discontinuity of body; measurements based on M-743</t>
    <phoneticPr fontId="10" type="noConversion"/>
  </si>
  <si>
    <t>Length measured to abdomen terminus</t>
    <phoneticPr fontId="10" type="noConversion"/>
  </si>
  <si>
    <t>Measurements based on M-747</t>
    <phoneticPr fontId="10" type="noConversion"/>
  </si>
  <si>
    <t>Ceratopogonidae</t>
    <phoneticPr fontId="10" type="noConversion"/>
  </si>
  <si>
    <t>Measurements based on M-752</t>
    <phoneticPr fontId="10" type="noConversion"/>
  </si>
  <si>
    <t>Seem to have accidentially measured this as a 3.2x initially, not sure where I got the length I did there</t>
    <phoneticPr fontId="10" type="noConversion"/>
  </si>
  <si>
    <t>DV</t>
    <phoneticPr fontId="10" type="noConversion"/>
  </si>
  <si>
    <t>T+W+A</t>
    <phoneticPr fontId="10" type="noConversion"/>
  </si>
  <si>
    <t>UCM80422</t>
    <phoneticPr fontId="10" type="noConversion"/>
  </si>
  <si>
    <t>CP090812-8</t>
    <phoneticPr fontId="10" type="noConversion"/>
  </si>
  <si>
    <t>Length represents a minimum</t>
    <phoneticPr fontId="10" type="noConversion"/>
  </si>
  <si>
    <t>O(?)</t>
    <phoneticPr fontId="10" type="noConversion"/>
  </si>
  <si>
    <t>T+A</t>
    <phoneticPr fontId="10" type="noConversion"/>
  </si>
  <si>
    <t>DV</t>
    <phoneticPr fontId="10" type="noConversion"/>
  </si>
  <si>
    <t>H+T+A</t>
    <phoneticPr fontId="10" type="noConversion"/>
  </si>
  <si>
    <t>Curculionoidea(?)</t>
    <phoneticPr fontId="10" type="noConversion"/>
  </si>
  <si>
    <t>Staphylinidae</t>
    <phoneticPr fontId="10" type="noConversion"/>
  </si>
  <si>
    <t>DV</t>
    <phoneticPr fontId="10" type="noConversion"/>
  </si>
  <si>
    <t>M-926</t>
    <phoneticPr fontId="10" type="noConversion"/>
  </si>
  <si>
    <t>UCM80710</t>
    <phoneticPr fontId="10" type="noConversion"/>
  </si>
  <si>
    <t>M-927</t>
    <phoneticPr fontId="10" type="noConversion"/>
  </si>
  <si>
    <t>M-955 &amp; M-956</t>
    <phoneticPr fontId="10" type="noConversion"/>
  </si>
  <si>
    <t>M-953 &amp; M-954</t>
    <phoneticPr fontId="10" type="noConversion"/>
  </si>
  <si>
    <t>2Tips-8a+b</t>
    <phoneticPr fontId="10" type="noConversion"/>
  </si>
  <si>
    <t>UCMP154565a+b</t>
    <phoneticPr fontId="10" type="noConversion"/>
  </si>
  <si>
    <t>M-963 &amp; M-964</t>
    <phoneticPr fontId="10" type="noConversion"/>
  </si>
  <si>
    <t>M-965 &amp; M-966</t>
    <phoneticPr fontId="10" type="noConversion"/>
  </si>
  <si>
    <t>Staphylinidae</t>
    <phoneticPr fontId="10" type="noConversion"/>
  </si>
  <si>
    <t>T, T+A</t>
    <phoneticPr fontId="10" type="noConversion"/>
  </si>
  <si>
    <t>M-983</t>
    <phoneticPr fontId="10" type="noConversion"/>
  </si>
  <si>
    <t>M-984</t>
    <phoneticPr fontId="10" type="noConversion"/>
  </si>
  <si>
    <t>M-985</t>
    <phoneticPr fontId="10" type="noConversion"/>
  </si>
  <si>
    <t>M-986</t>
    <phoneticPr fontId="10" type="noConversion"/>
  </si>
  <si>
    <t>UCM33366</t>
    <phoneticPr fontId="10" type="noConversion"/>
  </si>
  <si>
    <t>M-987</t>
    <phoneticPr fontId="10" type="noConversion"/>
  </si>
  <si>
    <t>UCM37157</t>
    <phoneticPr fontId="10" type="noConversion"/>
  </si>
  <si>
    <t>T</t>
    <phoneticPr fontId="10" type="noConversion"/>
  </si>
  <si>
    <t>UCM33424</t>
    <phoneticPr fontId="10" type="noConversion"/>
  </si>
  <si>
    <t>M-988</t>
    <phoneticPr fontId="10" type="noConversion"/>
  </si>
  <si>
    <t>Measurements based on M-714</t>
    <phoneticPr fontId="10" type="noConversion"/>
  </si>
  <si>
    <t>Measurements based on M-728</t>
    <phoneticPr fontId="10" type="noConversion"/>
  </si>
  <si>
    <t>Measurements based on M-738</t>
    <phoneticPr fontId="10" type="noConversion"/>
  </si>
  <si>
    <t>M-934</t>
    <phoneticPr fontId="10" type="noConversion"/>
  </si>
  <si>
    <t>M-935</t>
    <phoneticPr fontId="10" type="noConversion"/>
  </si>
  <si>
    <t>M-936</t>
    <phoneticPr fontId="10" type="noConversion"/>
  </si>
  <si>
    <t>Staphylinidae</t>
    <phoneticPr fontId="10" type="noConversion"/>
  </si>
  <si>
    <t>DV</t>
    <phoneticPr fontId="10" type="noConversion"/>
  </si>
  <si>
    <t>H+T+W+A</t>
    <phoneticPr fontId="10" type="noConversion"/>
  </si>
  <si>
    <t>L</t>
    <phoneticPr fontId="10" type="noConversion"/>
  </si>
  <si>
    <t>UCM13908</t>
    <phoneticPr fontId="10" type="noConversion"/>
  </si>
  <si>
    <t>Curculionidae</t>
    <phoneticPr fontId="10" type="noConversion"/>
  </si>
  <si>
    <t>Cleonus foersteri</t>
    <phoneticPr fontId="10" type="noConversion"/>
  </si>
  <si>
    <t>Coleoptera</t>
    <phoneticPr fontId="10" type="noConversion"/>
  </si>
  <si>
    <t>Full Name</t>
    <phoneticPr fontId="10" type="noConversion"/>
  </si>
  <si>
    <t>Coccinellidae</t>
    <phoneticPr fontId="10" type="noConversion"/>
  </si>
  <si>
    <t>H+T</t>
    <phoneticPr fontId="10" type="noConversion"/>
  </si>
  <si>
    <t>UCM80709a+b</t>
    <phoneticPr fontId="10" type="noConversion"/>
  </si>
  <si>
    <t>UCM80708a+b</t>
    <phoneticPr fontId="10" type="noConversion"/>
  </si>
  <si>
    <t>H+T+W+A</t>
    <phoneticPr fontId="10" type="noConversion"/>
  </si>
  <si>
    <t>UCM80707a+b</t>
    <phoneticPr fontId="10" type="noConversion"/>
  </si>
  <si>
    <t>H+T+W</t>
    <phoneticPr fontId="10" type="noConversion"/>
  </si>
  <si>
    <t>DV</t>
    <phoneticPr fontId="10" type="noConversion"/>
  </si>
  <si>
    <t>H+T+A</t>
    <phoneticPr fontId="10" type="noConversion"/>
  </si>
  <si>
    <t>UCM80423</t>
    <phoneticPr fontId="10" type="noConversion"/>
  </si>
  <si>
    <t>Curculionidae</t>
    <phoneticPr fontId="10" type="noConversion"/>
  </si>
  <si>
    <t>H+T, A</t>
    <phoneticPr fontId="10" type="noConversion"/>
  </si>
  <si>
    <t>UCM80758a+b</t>
    <phoneticPr fontId="10" type="noConversion"/>
  </si>
  <si>
    <t>UCM80735</t>
    <phoneticPr fontId="10" type="noConversion"/>
  </si>
  <si>
    <t>UCM80712</t>
    <phoneticPr fontId="10" type="noConversion"/>
  </si>
  <si>
    <t>UCM80713</t>
    <phoneticPr fontId="10" type="noConversion"/>
  </si>
  <si>
    <t>M-990</t>
    <phoneticPr fontId="10" type="noConversion"/>
  </si>
  <si>
    <t>M-949 &amp; M-950</t>
    <phoneticPr fontId="10" type="noConversion"/>
  </si>
  <si>
    <t>M-951</t>
    <phoneticPr fontId="10" type="noConversion"/>
  </si>
  <si>
    <t>UCM80711</t>
    <phoneticPr fontId="10" type="noConversion"/>
  </si>
  <si>
    <t>2Tips-9a+b</t>
    <phoneticPr fontId="10" type="noConversion"/>
  </si>
  <si>
    <t>M-943 to M-946</t>
    <phoneticPr fontId="10" type="noConversion"/>
  </si>
  <si>
    <t>M-947 &amp; M-948</t>
    <phoneticPr fontId="10" type="noConversion"/>
  </si>
  <si>
    <t>UCM80587</t>
    <phoneticPr fontId="10" type="noConversion"/>
  </si>
  <si>
    <t>T</t>
    <phoneticPr fontId="10" type="noConversion"/>
  </si>
  <si>
    <t>H+P, T</t>
    <phoneticPr fontId="10" type="noConversion"/>
  </si>
  <si>
    <t>Staphylinidae</t>
    <phoneticPr fontId="10" type="noConversion"/>
  </si>
  <si>
    <t>H+T+A</t>
    <phoneticPr fontId="10" type="noConversion"/>
  </si>
  <si>
    <t>UCM5114</t>
    <phoneticPr fontId="10" type="noConversion"/>
  </si>
  <si>
    <t>UCM33365</t>
    <phoneticPr fontId="10" type="noConversion"/>
  </si>
  <si>
    <t>Curculionoidea(?)</t>
    <phoneticPr fontId="10" type="noConversion"/>
  </si>
  <si>
    <t>UCMP154798a+b</t>
    <phoneticPr fontId="10" type="noConversion"/>
  </si>
  <si>
    <t>Coleoptera</t>
    <phoneticPr fontId="10" type="noConversion"/>
  </si>
  <si>
    <t>PacUnA-661a+b</t>
    <phoneticPr fontId="10" type="noConversion"/>
  </si>
  <si>
    <t>M-937 &amp; M-938</t>
    <phoneticPr fontId="10" type="noConversion"/>
  </si>
  <si>
    <t>M-939 &amp; M-940</t>
    <phoneticPr fontId="10" type="noConversion"/>
  </si>
  <si>
    <t>PacUnA-565a+b</t>
    <phoneticPr fontId="10" type="noConversion"/>
  </si>
  <si>
    <t>M-941 &amp; M-942</t>
    <phoneticPr fontId="10" type="noConversion"/>
  </si>
  <si>
    <t>M-995 to M-998</t>
    <phoneticPr fontId="10" type="noConversion"/>
  </si>
  <si>
    <t>M-999 to M-1002</t>
    <phoneticPr fontId="10" type="noConversion"/>
  </si>
  <si>
    <t>UCM33350</t>
    <phoneticPr fontId="10" type="noConversion"/>
  </si>
  <si>
    <t>Elateridae</t>
    <phoneticPr fontId="10" type="noConversion"/>
  </si>
  <si>
    <t>M-991</t>
    <phoneticPr fontId="10" type="noConversion"/>
  </si>
  <si>
    <t>M-992</t>
    <phoneticPr fontId="10" type="noConversion"/>
  </si>
  <si>
    <t>M-993</t>
    <phoneticPr fontId="10" type="noConversion"/>
  </si>
  <si>
    <t>M-994</t>
    <phoneticPr fontId="10" type="noConversion"/>
  </si>
  <si>
    <t>M-923</t>
    <phoneticPr fontId="10" type="noConversion"/>
  </si>
  <si>
    <t>Dolichopodidae</t>
    <phoneticPr fontId="10" type="noConversion"/>
  </si>
  <si>
    <t>Braconidae</t>
    <phoneticPr fontId="10" type="noConversion"/>
  </si>
  <si>
    <t>Heteroptera(?)</t>
    <phoneticPr fontId="10" type="noConversion"/>
  </si>
  <si>
    <t>JunCmp-255a+b</t>
    <phoneticPr fontId="10" type="noConversion"/>
  </si>
  <si>
    <t>M-952</t>
    <phoneticPr fontId="10" type="noConversion"/>
  </si>
  <si>
    <t>HowHun-334a+b</t>
    <phoneticPr fontId="10" type="noConversion"/>
  </si>
  <si>
    <t>UCM80743a+b</t>
    <phoneticPr fontId="10" type="noConversion"/>
  </si>
  <si>
    <t>UCM36562</t>
    <phoneticPr fontId="10" type="noConversion"/>
  </si>
  <si>
    <t>UCM36564</t>
    <phoneticPr fontId="10" type="noConversion"/>
  </si>
  <si>
    <t>UCM33364</t>
    <phoneticPr fontId="10" type="noConversion"/>
  </si>
  <si>
    <t>The lateral borders are annoyingly indefinite</t>
    <phoneticPr fontId="10" type="noConversion"/>
  </si>
  <si>
    <t>Measurements based on the pterothorax and (inferred) abdomen</t>
    <phoneticPr fontId="10" type="noConversion"/>
  </si>
  <si>
    <t>Measurements based on M-970</t>
    <phoneticPr fontId="10" type="noConversion"/>
  </si>
  <si>
    <t>Measurements based on M-973</t>
    <phoneticPr fontId="10" type="noConversion"/>
  </si>
  <si>
    <t>Neither is complete, but measurements based on M-710</t>
    <phoneticPr fontId="10" type="noConversion"/>
  </si>
  <si>
    <t>Diptera</t>
    <phoneticPr fontId="10" type="noConversion"/>
  </si>
  <si>
    <t>O</t>
    <phoneticPr fontId="10" type="noConversion"/>
  </si>
  <si>
    <t>UCMP154695a+b</t>
    <phoneticPr fontId="10" type="noConversion"/>
  </si>
  <si>
    <t>H+T+A</t>
    <phoneticPr fontId="10" type="noConversion"/>
  </si>
  <si>
    <t>Coleoptera</t>
    <phoneticPr fontId="10" type="noConversion"/>
  </si>
  <si>
    <t>H, P, T+A</t>
    <phoneticPr fontId="10" type="noConversion"/>
  </si>
  <si>
    <t>UCM33299</t>
    <phoneticPr fontId="10" type="noConversion"/>
  </si>
  <si>
    <t>M-980</t>
    <phoneticPr fontId="10" type="noConversion"/>
  </si>
  <si>
    <t>M-981</t>
    <phoneticPr fontId="10" type="noConversion"/>
  </si>
  <si>
    <t>UCM33349</t>
    <phoneticPr fontId="10" type="noConversion"/>
  </si>
  <si>
    <t>M-982</t>
    <phoneticPr fontId="10" type="noConversion"/>
  </si>
  <si>
    <t>UCM8185</t>
    <phoneticPr fontId="10" type="noConversion"/>
  </si>
  <si>
    <t>Docirhynchus terebrans</t>
    <phoneticPr fontId="10" type="noConversion"/>
  </si>
  <si>
    <t>Width measured from the likely upper edge beneath the elytron to the lower coxal insertion extent on the metasternum</t>
    <phoneticPr fontId="10" type="noConversion"/>
  </si>
  <si>
    <t>Coleoptera</t>
    <phoneticPr fontId="10" type="noConversion"/>
  </si>
  <si>
    <t>Coleoptera</t>
    <phoneticPr fontId="10" type="noConversion"/>
  </si>
  <si>
    <t>UCM33419</t>
    <phoneticPr fontId="10" type="noConversion"/>
  </si>
  <si>
    <t>E</t>
    <phoneticPr fontId="10" type="noConversion"/>
  </si>
  <si>
    <t>PacUn-731</t>
    <phoneticPr fontId="10" type="noConversion"/>
  </si>
  <si>
    <t>UCMP154944</t>
    <phoneticPr fontId="10" type="noConversion"/>
  </si>
  <si>
    <t>Curculionoidea(?)</t>
    <phoneticPr fontId="10" type="noConversion"/>
  </si>
  <si>
    <t>H+T</t>
    <phoneticPr fontId="10" type="noConversion"/>
  </si>
  <si>
    <t>M-972</t>
    <phoneticPr fontId="10" type="noConversion"/>
  </si>
  <si>
    <t>Omaliinae(?)</t>
    <phoneticPr fontId="10" type="noConversion"/>
  </si>
  <si>
    <t>M-973 &amp; M-974</t>
    <phoneticPr fontId="10" type="noConversion"/>
  </si>
  <si>
    <t>2Tips-483a+b</t>
    <phoneticPr fontId="10" type="noConversion"/>
  </si>
  <si>
    <t>UCMP155287a+b</t>
    <phoneticPr fontId="10" type="noConversion"/>
  </si>
  <si>
    <t>M-928 &amp; M-929</t>
    <phoneticPr fontId="10" type="noConversion"/>
  </si>
  <si>
    <t>M-930 &amp; M-931</t>
    <phoneticPr fontId="10" type="noConversion"/>
  </si>
  <si>
    <t>M-932 &amp; M-933</t>
    <phoneticPr fontId="10" type="noConversion"/>
  </si>
  <si>
    <t>UCM80585</t>
    <phoneticPr fontId="10" type="noConversion"/>
  </si>
  <si>
    <t>Staphylinidae</t>
    <phoneticPr fontId="10" type="noConversion"/>
  </si>
  <si>
    <t>H+T+W+A</t>
    <phoneticPr fontId="10" type="noConversion"/>
  </si>
  <si>
    <t>UCM80586</t>
    <phoneticPr fontId="10" type="noConversion"/>
  </si>
  <si>
    <t>Curculionidae</t>
    <phoneticPr fontId="10" type="noConversion"/>
  </si>
  <si>
    <t>L</t>
    <phoneticPr fontId="10" type="noConversion"/>
  </si>
  <si>
    <t>M-979</t>
    <phoneticPr fontId="10" type="noConversion"/>
  </si>
  <si>
    <t>Coleoptera</t>
    <phoneticPr fontId="10" type="noConversion"/>
  </si>
  <si>
    <t>UCM30026a+b</t>
    <phoneticPr fontId="10" type="noConversion"/>
  </si>
  <si>
    <t>Chauliognathus pristinus</t>
    <phoneticPr fontId="10" type="noConversion"/>
  </si>
  <si>
    <t>Cantharidae</t>
    <phoneticPr fontId="10" type="noConversion"/>
  </si>
  <si>
    <t>UCM33298</t>
    <phoneticPr fontId="10" type="noConversion"/>
  </si>
  <si>
    <t>Scarabaeoidea</t>
    <phoneticPr fontId="10" type="noConversion"/>
  </si>
  <si>
    <t>Width difficult to ascertain</t>
    <phoneticPr fontId="10" type="noConversion"/>
  </si>
  <si>
    <t>Width hard to do given the smeared nature of the specimen</t>
    <phoneticPr fontId="10" type="noConversion"/>
  </si>
  <si>
    <t>Measurements based on M-907</t>
    <phoneticPr fontId="10" type="noConversion"/>
  </si>
  <si>
    <t>UCM33355</t>
    <phoneticPr fontId="10" type="noConversion"/>
  </si>
  <si>
    <t>Add a "+A" to the articulation?  To be honest the abdominal segments seem pretty clear</t>
    <phoneticPr fontId="10" type="noConversion"/>
  </si>
  <si>
    <t>M-924</t>
    <phoneticPr fontId="10" type="noConversion"/>
  </si>
  <si>
    <t>M-925</t>
    <phoneticPr fontId="10" type="noConversion"/>
  </si>
  <si>
    <t>10-11-B58-#1</t>
  </si>
  <si>
    <t>M-120</t>
  </si>
  <si>
    <t>E+A</t>
  </si>
  <si>
    <t>Nodule makes maximum width measurement difficult</t>
  </si>
  <si>
    <t>10-11-B58-#2</t>
  </si>
  <si>
    <t>M-121 &amp; M-122</t>
  </si>
  <si>
    <t>H+T+A</t>
  </si>
  <si>
    <t>10-11-B58-#3</t>
  </si>
  <si>
    <t>Auchenorrhyncha(?)</t>
  </si>
  <si>
    <t>M-123 &amp; M-124</t>
  </si>
  <si>
    <t>H+T+W+A</t>
  </si>
  <si>
    <t>Measurements based on M-124; hard to see period</t>
  </si>
  <si>
    <t>10-11-B58-#4</t>
  </si>
  <si>
    <t>M-125 &amp; M-126</t>
  </si>
  <si>
    <t>Measurements based on M-125</t>
  </si>
  <si>
    <t>10-11-B58-#5</t>
  </si>
  <si>
    <t>M-127</t>
  </si>
  <si>
    <t>E</t>
  </si>
  <si>
    <t>UCM36569</t>
    <phoneticPr fontId="10" type="noConversion"/>
  </si>
  <si>
    <t>UCM33296</t>
    <phoneticPr fontId="10" type="noConversion"/>
  </si>
  <si>
    <t>L</t>
    <phoneticPr fontId="10" type="noConversion"/>
  </si>
  <si>
    <t>M-1008 &amp; M-1009</t>
    <phoneticPr fontId="10" type="noConversion"/>
  </si>
  <si>
    <t>M-1010</t>
    <phoneticPr fontId="10" type="noConversion"/>
  </si>
  <si>
    <t>M-1011</t>
    <phoneticPr fontId="10" type="noConversion"/>
  </si>
  <si>
    <t>M-989</t>
    <phoneticPr fontId="10" type="noConversion"/>
  </si>
  <si>
    <t>UCM33297</t>
    <phoneticPr fontId="10" type="noConversion"/>
  </si>
  <si>
    <t>Oxytelinae</t>
    <phoneticPr fontId="10" type="noConversion"/>
  </si>
  <si>
    <t>PacUn-202</t>
    <phoneticPr fontId="10" type="noConversion"/>
  </si>
  <si>
    <t>Coleoptera</t>
    <phoneticPr fontId="10" type="noConversion"/>
  </si>
  <si>
    <t>UCM8179</t>
    <phoneticPr fontId="10" type="noConversion"/>
  </si>
  <si>
    <t>Apion refrenatum</t>
    <phoneticPr fontId="10" type="noConversion"/>
  </si>
  <si>
    <t>Measurements based on M-930; width is greater, but on other specimen length is obscured</t>
    <phoneticPr fontId="10" type="noConversion"/>
  </si>
  <si>
    <t>H+T+A</t>
    <phoneticPr fontId="10" type="noConversion"/>
  </si>
  <si>
    <t>Measurements based on M-948</t>
    <phoneticPr fontId="10" type="noConversion"/>
  </si>
  <si>
    <t>Measurements based on M-965</t>
    <phoneticPr fontId="10" type="noConversion"/>
  </si>
  <si>
    <t>Measurements based on M-968</t>
    <phoneticPr fontId="10" type="noConversion"/>
  </si>
  <si>
    <t>Measurements based on M-975; elytra likely reasonably flush with abdomen, so they were measured for width</t>
    <phoneticPr fontId="10" type="noConversion"/>
  </si>
  <si>
    <t>Length based on what could be found before the abdomen was buried</t>
    <phoneticPr fontId="10" type="noConversion"/>
  </si>
  <si>
    <t>Width is, decidedly, a best guess</t>
    <phoneticPr fontId="10" type="noConversion"/>
  </si>
  <si>
    <t>Several width measurements converge around the width value</t>
    <phoneticPr fontId="10" type="noConversion"/>
  </si>
  <si>
    <t>Coccinellidae(?)</t>
    <phoneticPr fontId="10" type="noConversion"/>
  </si>
  <si>
    <t>UCM33276</t>
    <phoneticPr fontId="10" type="noConversion"/>
  </si>
  <si>
    <t>UCM33347</t>
    <phoneticPr fontId="10" type="noConversion"/>
  </si>
  <si>
    <t>UCM33428</t>
    <phoneticPr fontId="10" type="noConversion"/>
  </si>
  <si>
    <t>M-1016</t>
    <phoneticPr fontId="10" type="noConversion"/>
  </si>
  <si>
    <t>UCM8270</t>
    <phoneticPr fontId="10" type="noConversion"/>
  </si>
  <si>
    <t>Scyphophorus fossionis</t>
    <phoneticPr fontId="10" type="noConversion"/>
  </si>
  <si>
    <t>M-1003</t>
    <phoneticPr fontId="10" type="noConversion"/>
  </si>
  <si>
    <t>M-1004</t>
    <phoneticPr fontId="10" type="noConversion"/>
  </si>
  <si>
    <t>M-1005</t>
    <phoneticPr fontId="10" type="noConversion"/>
  </si>
  <si>
    <t>UCM33272a+b</t>
    <phoneticPr fontId="10" type="noConversion"/>
  </si>
  <si>
    <t>Curculionidae</t>
    <phoneticPr fontId="10" type="noConversion"/>
  </si>
  <si>
    <t>Balaninus restrictus</t>
    <phoneticPr fontId="10" type="noConversion"/>
  </si>
  <si>
    <t>UCM8212</t>
    <phoneticPr fontId="10" type="noConversion"/>
  </si>
  <si>
    <t>Cleonus degeneratus</t>
    <phoneticPr fontId="10" type="noConversion"/>
  </si>
  <si>
    <t>M-975 &amp; M-976</t>
    <phoneticPr fontId="10" type="noConversion"/>
  </si>
  <si>
    <t>2Tips-482a+b</t>
    <phoneticPr fontId="10" type="noConversion"/>
  </si>
  <si>
    <t>Coleoptera</t>
    <phoneticPr fontId="10" type="noConversion"/>
  </si>
  <si>
    <t>M-977 &amp; M-978</t>
    <phoneticPr fontId="10" type="noConversion"/>
  </si>
  <si>
    <t>UCMP155286</t>
    <phoneticPr fontId="10" type="noConversion"/>
  </si>
  <si>
    <t>UCM33360</t>
    <phoneticPr fontId="10" type="noConversion"/>
  </si>
  <si>
    <t>M-1013</t>
    <phoneticPr fontId="10" type="noConversion"/>
  </si>
  <si>
    <t>Not much width to measure</t>
    <phoneticPr fontId="10" type="noConversion"/>
  </si>
  <si>
    <t>Width based on the what could be measured of the thorax beneath the elytron</t>
    <phoneticPr fontId="10" type="noConversion"/>
  </si>
  <si>
    <t>M-1014</t>
    <phoneticPr fontId="10" type="noConversion"/>
  </si>
  <si>
    <t>M-1015</t>
    <phoneticPr fontId="10" type="noConversion"/>
  </si>
  <si>
    <t>Empididae</t>
    <phoneticPr fontId="10" type="noConversion"/>
  </si>
  <si>
    <t>M-154 &amp; M-155</t>
  </si>
  <si>
    <t>10-11-B63-#11a&amp;b</t>
  </si>
  <si>
    <t>M-156 &amp; M-157</t>
  </si>
  <si>
    <t>Measurements based on M-156</t>
  </si>
  <si>
    <t>10-11-B63-#12a&amp;b</t>
  </si>
  <si>
    <t>M-158 &amp; M-159</t>
  </si>
  <si>
    <t>Measurements based on M-159, abdomen tip a little fuzzy</t>
  </si>
  <si>
    <t>10-11-B63-#13a&amp;b</t>
  </si>
  <si>
    <t>M-160 &amp; M-161</t>
  </si>
  <si>
    <t>Measurements based on M-160, bulbous elytra obscure some of body</t>
  </si>
  <si>
    <t>10-11-B63-#14a&amp;b</t>
  </si>
  <si>
    <t>M-162 &amp; M-163</t>
  </si>
  <si>
    <t>Measurements based on M-162</t>
  </si>
  <si>
    <t>10-11-B63-#15a&amp;b</t>
  </si>
  <si>
    <t>M-164 &amp; M-165</t>
  </si>
  <si>
    <t>Measurements based on M-165, nodulose area not included in measurements</t>
  </si>
  <si>
    <t>10-11-B63-#16a&amp;b</t>
  </si>
  <si>
    <t>Width could be a little greater if an anterior piece isn't torn off</t>
    <phoneticPr fontId="10" type="noConversion"/>
  </si>
  <si>
    <t>Width measured on the dark areas of the abdomen</t>
    <phoneticPr fontId="10" type="noConversion"/>
  </si>
  <si>
    <t>Length could be shorter if abdomen tip is the wide sclerotized area; width based on elytra since they seem reasonably flush with the abdomen</t>
    <phoneticPr fontId="10" type="noConversion"/>
  </si>
  <si>
    <t>The jumble of legs makes the width hard to measure</t>
    <phoneticPr fontId="10" type="noConversion"/>
  </si>
  <si>
    <t>Width may accidentially include part of a leg, hard to say</t>
    <phoneticPr fontId="10" type="noConversion"/>
  </si>
  <si>
    <t>Measurements based on M-938</t>
    <phoneticPr fontId="10" type="noConversion"/>
  </si>
  <si>
    <t>Measurements based on M-958</t>
    <phoneticPr fontId="10" type="noConversion"/>
  </si>
  <si>
    <t>UCM33433</t>
    <phoneticPr fontId="10" type="noConversion"/>
  </si>
  <si>
    <t>Cerambycidae(?)</t>
    <phoneticPr fontId="10" type="noConversion"/>
  </si>
  <si>
    <t>O</t>
    <phoneticPr fontId="10" type="noConversion"/>
  </si>
  <si>
    <t>UCM30039</t>
    <phoneticPr fontId="10" type="noConversion"/>
  </si>
  <si>
    <t>Geralophus lassatus</t>
    <phoneticPr fontId="10" type="noConversion"/>
  </si>
  <si>
    <t>Diffuse boundaries make the dimensions difficult to measure</t>
    <phoneticPr fontId="10" type="noConversion"/>
  </si>
  <si>
    <t>Dimensions measured over large areas of non-preservation</t>
    <phoneticPr fontId="10" type="noConversion"/>
  </si>
  <si>
    <t>Width measured from the middle of the abdomen, where it should be flush with the elytron</t>
    <phoneticPr fontId="10" type="noConversion"/>
  </si>
  <si>
    <t>Measurements based on M-928; both part and counterpart have well-preserved and faint areas</t>
    <phoneticPr fontId="10" type="noConversion"/>
  </si>
  <si>
    <t>Coleoptera</t>
  </si>
  <si>
    <t>Coleoptera</t>
    <phoneticPr fontId="10" type="noConversion"/>
  </si>
  <si>
    <t>Diptera</t>
  </si>
  <si>
    <t>Diptera</t>
    <phoneticPr fontId="10" type="noConversion"/>
  </si>
  <si>
    <t>Hemiptera</t>
  </si>
  <si>
    <t>Hemiptera</t>
    <phoneticPr fontId="10" type="noConversion"/>
  </si>
  <si>
    <t>Coleoptera</t>
    <phoneticPr fontId="10" type="noConversion"/>
  </si>
  <si>
    <t>Orthoptera</t>
    <phoneticPr fontId="10" type="noConversion"/>
  </si>
  <si>
    <t>Hymenoptera</t>
  </si>
  <si>
    <t>Hymenoptera</t>
    <phoneticPr fontId="10" type="noConversion"/>
  </si>
  <si>
    <t>Blattodea</t>
    <phoneticPr fontId="10" type="noConversion"/>
  </si>
  <si>
    <t>Thysanoptera</t>
  </si>
  <si>
    <t>Thysanoptera</t>
    <phoneticPr fontId="10" type="noConversion"/>
  </si>
  <si>
    <t>Blattodea</t>
    <phoneticPr fontId="10" type="noConversion"/>
  </si>
  <si>
    <t>Orthoptera</t>
    <phoneticPr fontId="10" type="noConversion"/>
  </si>
  <si>
    <t>Coleoptera</t>
    <phoneticPr fontId="10" type="noConversion"/>
  </si>
  <si>
    <t>Lepidoptera</t>
  </si>
  <si>
    <t>10-11-B64-#1</t>
  </si>
  <si>
    <t>Insecta</t>
  </si>
  <si>
    <t>M-118</t>
  </si>
  <si>
    <t>L</t>
  </si>
  <si>
    <t>H(?)+T+A</t>
  </si>
  <si>
    <t>10-11-B42-#1</t>
  </si>
  <si>
    <t>M-119</t>
  </si>
  <si>
    <t>DV</t>
  </si>
  <si>
    <t>T+A</t>
  </si>
  <si>
    <t>M-338</t>
  </si>
  <si>
    <t>10-11-B63-#52</t>
  </si>
  <si>
    <t>M-339</t>
  </si>
  <si>
    <t>10-11-B63-#53</t>
  </si>
  <si>
    <t>M-340</t>
  </si>
  <si>
    <t>10-11-B63-#54</t>
  </si>
  <si>
    <t>M-341</t>
  </si>
  <si>
    <t>10-11-B63-#55</t>
  </si>
  <si>
    <t>M-342</t>
  </si>
  <si>
    <t>10-11-B63-#56</t>
  </si>
  <si>
    <t>M-343</t>
  </si>
  <si>
    <t>10-11-B63-#57</t>
  </si>
  <si>
    <t>M-344</t>
  </si>
  <si>
    <t>10-11-B63-#58</t>
  </si>
  <si>
    <t>M-345</t>
  </si>
  <si>
    <t>W</t>
  </si>
  <si>
    <t>10-11-B63-#59</t>
  </si>
  <si>
    <t>M-805</t>
  </si>
  <si>
    <t>10-11-B63-#60</t>
  </si>
  <si>
    <t>M-806</t>
  </si>
  <si>
    <t>Width taken at the widest point likely not belonging to legs or hemilytra</t>
  </si>
  <si>
    <t>10-11-B63-#61</t>
  </si>
  <si>
    <t>M-807</t>
  </si>
  <si>
    <t>10-11-B63-#62</t>
  </si>
  <si>
    <t>M-808</t>
  </si>
  <si>
    <t>Definitive dimensions difficult to choose</t>
  </si>
  <si>
    <t>10-11-B63-#63</t>
  </si>
  <si>
    <t>M-809</t>
  </si>
  <si>
    <t>M-1012</t>
    <phoneticPr fontId="10" type="noConversion"/>
  </si>
  <si>
    <t>10-11-B58-#6</t>
  </si>
  <si>
    <t>M-128 &amp; M-129</t>
  </si>
  <si>
    <t>Measurements based on M-129</t>
  </si>
  <si>
    <t>10-11-B58-#8</t>
  </si>
  <si>
    <t>Heteroptera(?)</t>
  </si>
  <si>
    <t>M-130</t>
  </si>
  <si>
    <t>H(?)+T+W+A</t>
  </si>
  <si>
    <t>10-11-B58-#11</t>
  </si>
  <si>
    <t>Diptera(?)</t>
  </si>
  <si>
    <t>M-131</t>
  </si>
  <si>
    <t>A</t>
  </si>
  <si>
    <t>10-11-B58-#12</t>
  </si>
  <si>
    <t>M-132</t>
  </si>
  <si>
    <t>10-11-B58-#13</t>
  </si>
  <si>
    <t>Staphylinidae</t>
  </si>
  <si>
    <t>M-133</t>
  </si>
  <si>
    <t>10-11-B58-#14</t>
  </si>
  <si>
    <t>Heteroptera</t>
  </si>
  <si>
    <t>M-134</t>
  </si>
  <si>
    <t>10-11-B58-#15</t>
  </si>
  <si>
    <t>Thysanoptera(?)</t>
  </si>
  <si>
    <t>M-135</t>
  </si>
  <si>
    <t>10-11-B58-#17</t>
  </si>
  <si>
    <t>Curculionoidea(?)</t>
  </si>
  <si>
    <t>M-136</t>
  </si>
  <si>
    <t>Measured from base of abdomen, since thoracic margins obscured</t>
  </si>
  <si>
    <t>10-11-B58-#18</t>
  </si>
  <si>
    <t>M-137</t>
  </si>
  <si>
    <t>10-11-B63-#1a&amp;b</t>
  </si>
  <si>
    <t>M-138 &amp; M-139</t>
  </si>
  <si>
    <t>Measurements based on M-139</t>
  </si>
  <si>
    <t>10-11-B63-#3a&amp;b</t>
  </si>
  <si>
    <t>M-140 &amp; M-141</t>
  </si>
  <si>
    <t>Measurements based on M-140</t>
  </si>
  <si>
    <t>10-11-B63-#4a&amp;b</t>
  </si>
  <si>
    <t>M-142 &amp; M-143</t>
  </si>
  <si>
    <t>H+T+W</t>
  </si>
  <si>
    <t>Measurements based on M-143, but the quality is so poor its hard to say what's being measured</t>
  </si>
  <si>
    <t>10-11-B63-#5a&amp;b</t>
  </si>
  <si>
    <t>M-144 &amp; M-145</t>
  </si>
  <si>
    <t>Measurements based on M-144, measured across gap since this looks not to be disarticulation</t>
  </si>
  <si>
    <t>10-11-B63-#6a&amp;b</t>
  </si>
  <si>
    <t>Lepidoptera(?)</t>
  </si>
  <si>
    <t>M-146 &amp; M-147</t>
  </si>
  <si>
    <t>T+A+W</t>
  </si>
  <si>
    <t>Measurements based on M-147</t>
  </si>
  <si>
    <t>10-11-B63-#7a&amp;b</t>
  </si>
  <si>
    <t>Auchenorrhyncha</t>
  </si>
  <si>
    <t>M-148 &amp; M-149</t>
  </si>
  <si>
    <t>H+T+A+W</t>
  </si>
  <si>
    <t>Measurements based on M-148</t>
  </si>
  <si>
    <t>10-11-B63-#8a&amp;b</t>
  </si>
  <si>
    <t>M-150 &amp; M-151</t>
  </si>
  <si>
    <t>Measurements based on M-150</t>
  </si>
  <si>
    <t>10-11-B63-#9a&amp;b</t>
  </si>
  <si>
    <t>Hemiptera? (H.?)</t>
  </si>
  <si>
    <t>M-152 &amp; M-153</t>
  </si>
  <si>
    <t>Measurements based on M-152, hard to determine width, though</t>
  </si>
  <si>
    <t>10-11-B63-#10a&amp;b</t>
  </si>
  <si>
    <t>Coleoptera(?)</t>
  </si>
  <si>
    <t>Measurements taken across gaps, but these seem contiguous</t>
  </si>
  <si>
    <t>10-11-B32-#15</t>
  </si>
  <si>
    <t>Endomychidae(?)</t>
  </si>
  <si>
    <t>M-831</t>
  </si>
  <si>
    <t>10-11-B32-#17</t>
  </si>
  <si>
    <t>M-832</t>
  </si>
  <si>
    <t>10-11-B32-#18</t>
  </si>
  <si>
    <t>M-833</t>
  </si>
  <si>
    <t>10-11-B32-#19</t>
  </si>
  <si>
    <t>M-834</t>
  </si>
  <si>
    <t>10-11-B32-#20</t>
  </si>
  <si>
    <t>M-835</t>
  </si>
  <si>
    <t>Width made at the pronotumt o keep the hemilytra from exaggerating the measurement</t>
  </si>
  <si>
    <t>10-11-B32-#21</t>
  </si>
  <si>
    <t>M-836</t>
  </si>
  <si>
    <t>10-11-B32-#22</t>
  </si>
  <si>
    <t>M-837</t>
  </si>
  <si>
    <t>Width difficult to establish between what is and isn't a leg</t>
  </si>
  <si>
    <t>10-11-B32-#24</t>
  </si>
  <si>
    <t>M-838</t>
  </si>
  <si>
    <t>10-11-B32-#26</t>
  </si>
  <si>
    <t>M-839</t>
  </si>
  <si>
    <t>10-11-B32-#27</t>
  </si>
  <si>
    <t>M-840</t>
  </si>
  <si>
    <t>M-166 &amp; M-302</t>
  </si>
  <si>
    <t>T+W+A</t>
  </si>
  <si>
    <t>Measurements based on M-166</t>
  </si>
  <si>
    <t>10-11-B63-#17a&amp;b</t>
  </si>
  <si>
    <t>Tipuloidea</t>
  </si>
  <si>
    <t>M-303 &amp; M-304</t>
  </si>
  <si>
    <t>Measurements based on M-303</t>
  </si>
  <si>
    <t>10-11-B63-#18a&amp;b</t>
  </si>
  <si>
    <t>M-305 &amp; M-306</t>
  </si>
  <si>
    <t>Measurements based on M-305</t>
  </si>
  <si>
    <t>10-11-B63-#19</t>
  </si>
  <si>
    <t>M-307</t>
  </si>
  <si>
    <t>10-11-B63-#20a&amp;b</t>
  </si>
  <si>
    <t>M-308 &amp; M-309</t>
  </si>
  <si>
    <t>DV(?)</t>
  </si>
  <si>
    <t>Measurements based on M-308</t>
  </si>
  <si>
    <t>10-11-B63-#21a&amp;b</t>
  </si>
  <si>
    <t>M-310 &amp; M-311</t>
  </si>
  <si>
    <t>Measurements based on M-311</t>
  </si>
  <si>
    <t>10-11-B63-#23a&amp;b</t>
  </si>
  <si>
    <t>M-312 &amp; M-313</t>
  </si>
  <si>
    <t>Measurements based on M-313; length difficult to determine</t>
  </si>
  <si>
    <t>10-11-B63-#24a&amp;b</t>
  </si>
  <si>
    <t>M-314 &amp; M-315</t>
  </si>
  <si>
    <t>Measurements based on M-314</t>
  </si>
  <si>
    <t>10-11-B63-#25</t>
  </si>
  <si>
    <t>M-316</t>
  </si>
  <si>
    <t>L(?)</t>
  </si>
  <si>
    <t>10-11-B63-#26</t>
  </si>
  <si>
    <t>M-317</t>
  </si>
  <si>
    <t>10-11-B63-#27</t>
  </si>
  <si>
    <t>M-318</t>
  </si>
  <si>
    <t>10-11-B63-#28</t>
  </si>
  <si>
    <t>M-319</t>
  </si>
  <si>
    <t>10-11-B63-#29</t>
  </si>
  <si>
    <t>M-320</t>
  </si>
  <si>
    <t>10-11-B63-#30</t>
  </si>
  <si>
    <t>Curculionoidea</t>
  </si>
  <si>
    <t>M-321</t>
  </si>
  <si>
    <t>10-11-B63-#31</t>
  </si>
  <si>
    <t>M-322</t>
  </si>
  <si>
    <t>T(?)</t>
  </si>
  <si>
    <t>10-11-B63-#32</t>
  </si>
  <si>
    <t>M-323</t>
  </si>
  <si>
    <t>10-11-B63-#33</t>
  </si>
  <si>
    <t>M-324</t>
  </si>
  <si>
    <t>10-11-B63-#34</t>
  </si>
  <si>
    <t>M-325</t>
  </si>
  <si>
    <t>This one's length is tough to measure</t>
  </si>
  <si>
    <t>10-11-B63-#35</t>
  </si>
  <si>
    <t>M-326</t>
  </si>
  <si>
    <t>10-11-B63-#36</t>
  </si>
  <si>
    <t>M-327</t>
  </si>
  <si>
    <t>10-11-B63-#37</t>
  </si>
  <si>
    <t>M-328</t>
  </si>
  <si>
    <t>10-11-B63-#40</t>
  </si>
  <si>
    <t>Carabidae(?)</t>
  </si>
  <si>
    <t>M-329</t>
  </si>
  <si>
    <t>10-11-B63-#41</t>
  </si>
  <si>
    <t>10-11-B63-#42</t>
  </si>
  <si>
    <t>M-330</t>
  </si>
  <si>
    <t>10-11-B63-#43</t>
  </si>
  <si>
    <t>M-331</t>
  </si>
  <si>
    <t>10-11-B63-#44</t>
  </si>
  <si>
    <t>M-332</t>
  </si>
  <si>
    <t>10-11-B63-#45</t>
  </si>
  <si>
    <t>M-333</t>
  </si>
  <si>
    <t>10-11-B63-#47</t>
  </si>
  <si>
    <t>M-334</t>
  </si>
  <si>
    <t>10-11-B63-#48</t>
  </si>
  <si>
    <t>M-335</t>
  </si>
  <si>
    <t>10-11-B63-#49</t>
  </si>
  <si>
    <t>M-336</t>
  </si>
  <si>
    <t>10-11-B63-#50</t>
  </si>
  <si>
    <t>M-337</t>
  </si>
  <si>
    <t>10-11-B63-#51</t>
  </si>
  <si>
    <t>Leg gets in the way of wider potential widths</t>
  </si>
  <si>
    <t>10-11-B32-#48</t>
  </si>
  <si>
    <t>M-859</t>
  </si>
  <si>
    <t>Length does not include the nodulose "head"</t>
  </si>
  <si>
    <t>10-11-B32-#49</t>
  </si>
  <si>
    <t>M-860</t>
  </si>
  <si>
    <t>Length includes the possibly nodulose anterior</t>
  </si>
  <si>
    <t>10-11-B32-#51</t>
  </si>
  <si>
    <t>M-861</t>
  </si>
  <si>
    <t>10-11-B32-#53</t>
  </si>
  <si>
    <t>M-862</t>
  </si>
  <si>
    <t>10-11-B32-#54</t>
  </si>
  <si>
    <t>M-863</t>
  </si>
  <si>
    <t>10-11-B32-#55</t>
  </si>
  <si>
    <t>M-864</t>
  </si>
  <si>
    <t>10-11-B32-#56</t>
  </si>
  <si>
    <t>M-865</t>
  </si>
  <si>
    <t>Abdominal width greater, but borders too indefinite</t>
  </si>
  <si>
    <t>10-11-B32-#57</t>
  </si>
  <si>
    <t>M-866</t>
  </si>
  <si>
    <t>10-11-B32-#58</t>
  </si>
  <si>
    <t>Nematocera</t>
  </si>
  <si>
    <t>M-867</t>
  </si>
  <si>
    <t>H+T, W</t>
  </si>
  <si>
    <t>Dimensions quite variable depending on what is considered "the edge"</t>
  </si>
  <si>
    <t>10-11-B63-#64a+b</t>
  </si>
  <si>
    <t>M-810 &amp; M-811</t>
  </si>
  <si>
    <t>Measurements based on M-811</t>
  </si>
  <si>
    <t>10-11-B63-#65</t>
  </si>
  <si>
    <t>Staphyinidae</t>
  </si>
  <si>
    <t>M-812</t>
  </si>
  <si>
    <t>10-11-B27-#1</t>
  </si>
  <si>
    <t>M-813</t>
  </si>
  <si>
    <t>10-11-B27-#6</t>
  </si>
  <si>
    <t>M-814</t>
  </si>
  <si>
    <t>Measurement goes over a gap in the thorax which doesn't seem to be disarticulated</t>
  </si>
  <si>
    <t>10-11-B27-#7</t>
  </si>
  <si>
    <t>M-815</t>
  </si>
  <si>
    <t>H+T, T+A</t>
  </si>
  <si>
    <t>Length is likely exaggerated from disarticulation</t>
  </si>
  <si>
    <t>10-11-B27-#8</t>
  </si>
  <si>
    <t>Tipulidae</t>
  </si>
  <si>
    <t>M-816</t>
  </si>
  <si>
    <t>10-11-B27-#9</t>
  </si>
  <si>
    <t>M-817</t>
  </si>
  <si>
    <t>10-11-B32-#1</t>
  </si>
  <si>
    <t>M-818</t>
  </si>
  <si>
    <t>The left edge falls off, making the width hard to measure</t>
  </si>
  <si>
    <t>10-11-B32-#2</t>
  </si>
  <si>
    <t>M-819</t>
  </si>
  <si>
    <t>Length does not include the nodulose areas that likely overgrow the anterior half</t>
  </si>
  <si>
    <t>10-11-B32-#3</t>
  </si>
  <si>
    <t>M-820</t>
  </si>
  <si>
    <t>10-11-B32-#4</t>
  </si>
  <si>
    <t>Tipulidae(?)</t>
  </si>
  <si>
    <t>M-821</t>
  </si>
  <si>
    <t>T, A</t>
  </si>
  <si>
    <t>10-11-B32-#5</t>
  </si>
  <si>
    <t>M-822</t>
  </si>
  <si>
    <t>Width could be greater or less, leg gets in the way</t>
  </si>
  <si>
    <t>10-11-B32-#6</t>
  </si>
  <si>
    <t>M-823</t>
  </si>
  <si>
    <t>Dimensions very much represent a best guess</t>
  </si>
  <si>
    <t>10-11-B32-#7</t>
  </si>
  <si>
    <t>M-824</t>
  </si>
  <si>
    <t>O</t>
  </si>
  <si>
    <t>Width includes the elytron across the mesothorax</t>
  </si>
  <si>
    <t>10-11-B32-#9</t>
  </si>
  <si>
    <t>M-825</t>
  </si>
  <si>
    <t>T</t>
  </si>
  <si>
    <t>Again, legs or their potential presence interfere with dimension measurments</t>
  </si>
  <si>
    <t>10-11-B32-#10</t>
  </si>
  <si>
    <t>Curculionoidae</t>
  </si>
  <si>
    <t>M-826</t>
  </si>
  <si>
    <t>10-11-B32-#11</t>
  </si>
  <si>
    <t>Curculionidae</t>
  </si>
  <si>
    <t>M-827</t>
  </si>
  <si>
    <t>H+T</t>
  </si>
  <si>
    <t>10-11-B32-#12</t>
  </si>
  <si>
    <t>M-828</t>
  </si>
  <si>
    <t>10-11-B32-#13</t>
  </si>
  <si>
    <t>M-829</t>
  </si>
  <si>
    <t>10-11-B32-#14</t>
  </si>
  <si>
    <t>Hemiptera(?)</t>
  </si>
  <si>
    <t>M-830</t>
  </si>
  <si>
    <t>Log Transformed Distributions</t>
    <phoneticPr fontId="10" type="noConversion"/>
  </si>
  <si>
    <t xml:space="preserve">Mean </t>
    <phoneticPr fontId="10" type="noConversion"/>
  </si>
  <si>
    <t>Means and goodness of fit tests for untransformed and log transformed distributions of insect and beetle body areas</t>
    <phoneticPr fontId="10" type="noConversion"/>
  </si>
  <si>
    <t>Mean</t>
    <phoneticPr fontId="10" type="noConversion"/>
  </si>
  <si>
    <t>SD</t>
    <phoneticPr fontId="10" type="noConversion"/>
  </si>
  <si>
    <r>
      <t>PB</t>
    </r>
    <r>
      <rPr>
        <vertAlign val="subscript"/>
        <sz val="10"/>
        <rFont val="Verdana"/>
      </rPr>
      <t>B</t>
    </r>
    <r>
      <rPr>
        <sz val="10"/>
        <rFont val="Verdana"/>
      </rPr>
      <t>+AP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= the group comparing all beetles from the Paleoburn and Anvil Points sites; </t>
    </r>
    <phoneticPr fontId="10" type="noConversion"/>
  </si>
  <si>
    <r>
      <t>AP</t>
    </r>
    <r>
      <rPr>
        <vertAlign val="subscript"/>
        <sz val="10"/>
        <rFont val="Verdana"/>
      </rPr>
      <t>B</t>
    </r>
    <r>
      <rPr>
        <sz val="10"/>
        <rFont val="Verdana"/>
      </rPr>
      <t>+CC</t>
    </r>
    <r>
      <rPr>
        <vertAlign val="subscript"/>
        <sz val="10"/>
        <rFont val="Verdana"/>
      </rPr>
      <t>B</t>
    </r>
    <r>
      <rPr>
        <sz val="10"/>
        <rFont val="Verdana"/>
      </rPr>
      <t xml:space="preserve"> = the group comparing all beetles from the Anvil Points site and the other carbonaceous compression sites (Kishenehn, Claudia’s Place, Stewart Valley, and Florissant).</t>
    </r>
    <phoneticPr fontId="10" type="noConversion"/>
  </si>
  <si>
    <t>10-11-B32-#28</t>
  </si>
  <si>
    <t>Muscomorpha</t>
  </si>
  <si>
    <t>M-841</t>
  </si>
  <si>
    <t>10-11-B32-#29</t>
  </si>
  <si>
    <t>Tipulidae (?)</t>
  </si>
  <si>
    <t>M-842 &amp; M-843</t>
  </si>
  <si>
    <t>The barely-there tibia, seen by its hairs, proved to be the straightest and most contiguous long leg segment</t>
  </si>
  <si>
    <t>10-11-B32-#30</t>
  </si>
  <si>
    <t>M-844</t>
  </si>
  <si>
    <t>Width difficult to measure</t>
  </si>
  <si>
    <t>10-11-B32-#32</t>
  </si>
  <si>
    <t>M-845</t>
  </si>
  <si>
    <t>Measures across a few likely contiguous gaps</t>
  </si>
  <si>
    <t>10-11-B32-#33</t>
  </si>
  <si>
    <t>Staphylinidae(?)</t>
  </si>
  <si>
    <t>M-846</t>
  </si>
  <si>
    <t>10-11-B32-#34</t>
  </si>
  <si>
    <t>M-847</t>
  </si>
  <si>
    <t>10-11-B32-#35</t>
  </si>
  <si>
    <t>M-848</t>
  </si>
  <si>
    <t>10-11-B32-#36</t>
  </si>
  <si>
    <t>M-849</t>
  </si>
  <si>
    <t>Length terminus is hard to determine</t>
  </si>
  <si>
    <t>10-11-B32-#39</t>
  </si>
  <si>
    <t>M-850</t>
  </si>
  <si>
    <t>Width is hard to guess as material becomes fragmentary on either side</t>
  </si>
  <si>
    <t>10-11-B32-#40</t>
  </si>
  <si>
    <t>M-851</t>
  </si>
  <si>
    <t>10-11-B32-#41</t>
  </si>
  <si>
    <t>M-852</t>
  </si>
  <si>
    <t>10-11-B32-#42</t>
  </si>
  <si>
    <t>M-853</t>
  </si>
  <si>
    <t>Length goes across a contiguous gap, true width is obscured by coxae</t>
  </si>
  <si>
    <t>10-11-B32-#43</t>
  </si>
  <si>
    <t>M-854</t>
  </si>
  <si>
    <t>Depending on what belongs to this, the dimensions could be greater</t>
  </si>
  <si>
    <t>10-11-B32-#44</t>
  </si>
  <si>
    <t>M-855</t>
  </si>
  <si>
    <t>Greatest contiguous length was from the trochanter to the femur</t>
  </si>
  <si>
    <t>10-11-B32-#45</t>
  </si>
  <si>
    <t>M-856</t>
  </si>
  <si>
    <t>10-11-B32-#46</t>
  </si>
  <si>
    <t>M-857</t>
  </si>
  <si>
    <t>Length is to the last good patch on the abdomen</t>
  </si>
  <si>
    <t>10-11-B32-#47</t>
  </si>
  <si>
    <t>M-858</t>
  </si>
  <si>
    <t>Raw Data on the Anvil Points Locality. Shaded orthoptera legs were not conisdered for Preservation Quality comparisons since it is impossible to score an isolated leg part</t>
  </si>
  <si>
    <t>Expected Proportion, was sufficiently high to warrant a chi-squared test. If not,</t>
  </si>
  <si>
    <t>contingency table using the two sites was employed instead. If the expected</t>
  </si>
  <si>
    <t>Comparison between the mineralized Paleoburn site and the keroginized Anvil Points site.</t>
  </si>
  <si>
    <t>Preservation Fidelity Scores, and their chi-squared tests for the Preservation Pathway</t>
  </si>
  <si>
    <t>Eye  Fidelity</t>
  </si>
  <si>
    <t xml:space="preserve"> Fidelity Comparison</t>
  </si>
  <si>
    <t>Head  Fidelity</t>
  </si>
  <si>
    <t>Thorax  Fidelity</t>
  </si>
  <si>
    <t>Abdomen  Fidelity</t>
  </si>
  <si>
    <t>Number Comparison</t>
  </si>
  <si>
    <t>Leg Fidelity</t>
  </si>
  <si>
    <t>Fidelity Comparison</t>
  </si>
  <si>
    <t>Antenna Fidelity</t>
  </si>
  <si>
    <t>Basic Presence/Absence tallies, Quantity Counts, Preservation Fidelity Scores, and their respective chi-squared tests for the beetles of the Anvil Points and Carbonaceous Compression Comparison sites.</t>
  </si>
  <si>
    <t>Chi-squared tests or Fisher Exact Tests (if the Expected Proportion of chi-squared tests were too small) were used to test the relative proportions of preservation fidelity scores and articulation states.</t>
  </si>
  <si>
    <t>The results of these tests are listed in their respective columns.</t>
  </si>
  <si>
    <t>Fidelity:</t>
  </si>
  <si>
    <t>Eye Fidelity</t>
  </si>
  <si>
    <t>Head Fidelity</t>
  </si>
  <si>
    <t>Thorax Fidelity</t>
  </si>
  <si>
    <t>Abdomen Fidelity</t>
  </si>
  <si>
    <t>the relative proportions of the Articulation Categories.</t>
  </si>
  <si>
    <t xml:space="preserve">but not actually articulated. Legs and antennae are only considered as a body component if there are no others present. </t>
  </si>
  <si>
    <t>Abbreviations: H, head; T, thorax; A, abdomen; W, wing or wings; E, elytron or elytra; P, pronotum; L, leg or legs; Ant., antennae;</t>
  </si>
  <si>
    <t>Untransformed Distributions</t>
  </si>
  <si>
    <t>Means, ANOVA, Kruskall-Wallis tests, and Tukey-Kramer HSD comparing distributions of insect and beetle body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</si>
</sst>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3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b/>
      <i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sz val="10"/>
      <color indexed="40"/>
      <name val="Verdana"/>
    </font>
    <font>
      <vertAlign val="subscript"/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9" fillId="0" borderId="0" xfId="0" applyFont="1"/>
    <xf numFmtId="0" fontId="0" fillId="0" borderId="0" xfId="0" applyAlignment="1">
      <alignment horizontal="left"/>
    </xf>
    <xf numFmtId="16" fontId="0" fillId="0" borderId="0" xfId="0" applyNumberFormat="1"/>
    <xf numFmtId="0" fontId="8" fillId="0" borderId="0" xfId="0" applyFont="1"/>
    <xf numFmtId="0" fontId="7" fillId="0" borderId="0" xfId="0" applyFont="1"/>
    <xf numFmtId="0" fontId="0" fillId="2" borderId="0" xfId="0" applyFill="1"/>
    <xf numFmtId="0" fontId="0" fillId="3" borderId="0" xfId="0" applyFill="1"/>
    <xf numFmtId="0" fontId="0" fillId="0" borderId="0" xfId="0"/>
    <xf numFmtId="0" fontId="0" fillId="0" borderId="0" xfId="0" applyAlignment="1"/>
    <xf numFmtId="0" fontId="1" fillId="0" borderId="0" xfId="0" applyFont="1"/>
    <xf numFmtId="165" fontId="0" fillId="0" borderId="0" xfId="0" applyNumberFormat="1"/>
    <xf numFmtId="164" fontId="0" fillId="0" borderId="0" xfId="0" applyNumberFormat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4" borderId="0" xfId="0" applyFont="1" applyFill="1"/>
    <xf numFmtId="0" fontId="6" fillId="0" borderId="0" xfId="0" applyFont="1" applyFill="1"/>
    <xf numFmtId="0" fontId="5" fillId="0" borderId="0" xfId="0" applyFont="1" applyFill="1"/>
    <xf numFmtId="164" fontId="0" fillId="0" borderId="0" xfId="0" applyNumberFormat="1" applyFill="1"/>
    <xf numFmtId="164" fontId="3" fillId="0" borderId="0" xfId="0" applyNumberFormat="1" applyFont="1" applyFill="1"/>
    <xf numFmtId="165" fontId="4" fillId="0" borderId="0" xfId="0" applyNumberFormat="1" applyFont="1" applyFill="1"/>
    <xf numFmtId="166" fontId="4" fillId="0" borderId="0" xfId="0" applyNumberFormat="1" applyFont="1" applyFill="1"/>
    <xf numFmtId="1" fontId="0" fillId="0" borderId="0" xfId="0" applyNumberFormat="1" applyFill="1"/>
    <xf numFmtId="0" fontId="0" fillId="0" borderId="0" xfId="0" applyAlignment="1">
      <alignment horizontal="right"/>
    </xf>
    <xf numFmtId="1" fontId="0" fillId="0" borderId="0" xfId="0" applyNumberFormat="1" applyFill="1"/>
    <xf numFmtId="164" fontId="4" fillId="0" borderId="0" xfId="0" applyNumberFormat="1" applyFont="1" applyFill="1"/>
    <xf numFmtId="11" fontId="0" fillId="0" borderId="0" xfId="0" applyNumberFormat="1" applyFill="1"/>
    <xf numFmtId="0" fontId="4" fillId="0" borderId="0" xfId="0" applyFont="1"/>
    <xf numFmtId="165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3"/>
  <sheetViews>
    <sheetView workbookViewId="0">
      <pane ySplit="1560" topLeftCell="A219"/>
      <selection activeCell="B2" sqref="B2"/>
      <selection pane="bottomLeft" activeCell="B2" sqref="B2"/>
    </sheetView>
  </sheetViews>
  <sheetFormatPr baseColWidth="10" defaultRowHeight="13" x14ac:dyDescent="0.15"/>
  <cols>
    <col min="1" max="1" width="16.5" bestFit="1" customWidth="1"/>
    <col min="2" max="2" width="13.83203125" bestFit="1" customWidth="1"/>
    <col min="3" max="3" width="13.83203125" customWidth="1"/>
    <col min="6" max="6" width="12.33203125" bestFit="1" customWidth="1"/>
    <col min="7" max="7" width="11.83203125" bestFit="1" customWidth="1"/>
    <col min="8" max="8" width="6.6640625" customWidth="1"/>
    <col min="9" max="9" width="10.5" bestFit="1" customWidth="1"/>
    <col min="10" max="10" width="11" bestFit="1" customWidth="1"/>
    <col min="11" max="11" width="15.5" bestFit="1" customWidth="1"/>
    <col min="13" max="13" width="11.6640625" bestFit="1" customWidth="1"/>
    <col min="14" max="14" width="13.5" bestFit="1" customWidth="1"/>
    <col min="15" max="15" width="15.5" bestFit="1" customWidth="1"/>
    <col min="16" max="17" width="10.5" customWidth="1"/>
    <col min="18" max="18" width="51.83203125" bestFit="1" customWidth="1"/>
    <col min="31" max="31" width="11.6640625" bestFit="1" customWidth="1"/>
    <col min="33" max="33" width="15.5" bestFit="1" customWidth="1"/>
  </cols>
  <sheetData>
    <row r="1" spans="1:18" x14ac:dyDescent="0.15">
      <c r="A1" t="s">
        <v>1279</v>
      </c>
      <c r="B1" s="8" t="s">
        <v>1</v>
      </c>
      <c r="F1" s="9" t="s">
        <v>1166</v>
      </c>
    </row>
    <row r="4" spans="1:18" x14ac:dyDescent="0.15">
      <c r="A4" t="s">
        <v>1280</v>
      </c>
      <c r="B4" t="s">
        <v>1290</v>
      </c>
      <c r="C4" s="8" t="s">
        <v>153</v>
      </c>
      <c r="D4" t="s">
        <v>1281</v>
      </c>
      <c r="E4" t="s">
        <v>1282</v>
      </c>
      <c r="F4" t="s">
        <v>1283</v>
      </c>
      <c r="G4" t="s">
        <v>1388</v>
      </c>
      <c r="H4" t="s">
        <v>1226</v>
      </c>
      <c r="I4" t="s">
        <v>1285</v>
      </c>
      <c r="J4" t="s">
        <v>1227</v>
      </c>
      <c r="K4" t="s">
        <v>1286</v>
      </c>
      <c r="L4" t="s">
        <v>1287</v>
      </c>
      <c r="M4" t="s">
        <v>1288</v>
      </c>
      <c r="N4" t="s">
        <v>1289</v>
      </c>
      <c r="O4" t="s">
        <v>1195</v>
      </c>
      <c r="P4" t="s">
        <v>1224</v>
      </c>
      <c r="Q4" t="s">
        <v>1228</v>
      </c>
      <c r="R4" t="s">
        <v>1225</v>
      </c>
    </row>
    <row r="6" spans="1:18" x14ac:dyDescent="0.15">
      <c r="A6" t="s">
        <v>1136</v>
      </c>
      <c r="B6" t="s">
        <v>969</v>
      </c>
      <c r="D6">
        <v>0.68</v>
      </c>
      <c r="E6">
        <v>0.72</v>
      </c>
      <c r="F6" t="s">
        <v>970</v>
      </c>
      <c r="G6" s="16">
        <v>0</v>
      </c>
      <c r="H6" s="16">
        <v>4</v>
      </c>
      <c r="I6" s="16">
        <v>1</v>
      </c>
      <c r="J6" s="16">
        <v>0</v>
      </c>
      <c r="K6" s="16">
        <v>0</v>
      </c>
      <c r="L6" s="16">
        <v>0</v>
      </c>
      <c r="M6" s="16">
        <v>0</v>
      </c>
      <c r="N6" s="16">
        <v>1</v>
      </c>
      <c r="O6" s="16">
        <v>0</v>
      </c>
      <c r="P6" t="s">
        <v>971</v>
      </c>
      <c r="Q6" t="s">
        <v>972</v>
      </c>
    </row>
    <row r="7" spans="1:18" x14ac:dyDescent="0.15">
      <c r="A7" t="s">
        <v>2755</v>
      </c>
      <c r="B7" t="s">
        <v>2756</v>
      </c>
      <c r="C7" t="s">
        <v>2658</v>
      </c>
      <c r="D7">
        <v>2.38</v>
      </c>
      <c r="E7">
        <v>0.74</v>
      </c>
      <c r="F7" t="s">
        <v>2757</v>
      </c>
      <c r="G7" s="16">
        <v>2</v>
      </c>
      <c r="H7" s="16">
        <v>1</v>
      </c>
      <c r="I7" s="16">
        <v>1</v>
      </c>
      <c r="J7" s="16">
        <v>0</v>
      </c>
      <c r="K7" s="16">
        <v>0</v>
      </c>
      <c r="L7" s="16">
        <v>0</v>
      </c>
      <c r="M7" s="16">
        <v>1</v>
      </c>
      <c r="N7" s="16">
        <v>2</v>
      </c>
      <c r="O7" s="16">
        <v>2</v>
      </c>
      <c r="P7" t="s">
        <v>2678</v>
      </c>
      <c r="Q7" t="s">
        <v>2758</v>
      </c>
      <c r="R7" t="s">
        <v>2759</v>
      </c>
    </row>
    <row r="8" spans="1:18" x14ac:dyDescent="0.15">
      <c r="A8" t="s">
        <v>2837</v>
      </c>
      <c r="B8" t="s">
        <v>2756</v>
      </c>
      <c r="C8" t="s">
        <v>2658</v>
      </c>
      <c r="D8">
        <v>3.65</v>
      </c>
      <c r="E8">
        <v>1.1200000000000001</v>
      </c>
      <c r="F8" t="s">
        <v>2838</v>
      </c>
      <c r="G8" s="16">
        <v>0</v>
      </c>
      <c r="H8" s="16">
        <v>4</v>
      </c>
      <c r="I8" s="16">
        <v>1</v>
      </c>
      <c r="J8" s="16">
        <v>0</v>
      </c>
      <c r="K8" s="16">
        <v>0</v>
      </c>
      <c r="L8" s="16">
        <v>0</v>
      </c>
      <c r="M8" s="16">
        <v>2</v>
      </c>
      <c r="N8" s="16">
        <v>2</v>
      </c>
      <c r="O8" s="16">
        <v>2</v>
      </c>
      <c r="P8" t="s">
        <v>2674</v>
      </c>
      <c r="Q8" t="s">
        <v>2560</v>
      </c>
      <c r="R8" s="9"/>
    </row>
    <row r="9" spans="1:18" x14ac:dyDescent="0.15">
      <c r="A9" t="s">
        <v>2693</v>
      </c>
      <c r="B9" t="s">
        <v>2756</v>
      </c>
      <c r="C9" t="s">
        <v>2658</v>
      </c>
      <c r="D9">
        <v>4.6100000000000003</v>
      </c>
      <c r="E9">
        <v>1.54</v>
      </c>
      <c r="F9" t="s">
        <v>2694</v>
      </c>
      <c r="G9" s="16">
        <v>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t="s">
        <v>2674</v>
      </c>
      <c r="Q9" t="s">
        <v>2695</v>
      </c>
    </row>
    <row r="10" spans="1:18" x14ac:dyDescent="0.15">
      <c r="A10" t="s">
        <v>2991</v>
      </c>
      <c r="B10" t="s">
        <v>2756</v>
      </c>
      <c r="C10" t="s">
        <v>2658</v>
      </c>
      <c r="D10">
        <v>5.42</v>
      </c>
      <c r="E10">
        <v>1.4</v>
      </c>
      <c r="F10" t="s">
        <v>2992</v>
      </c>
      <c r="G10" s="16">
        <v>0</v>
      </c>
      <c r="H10" s="16">
        <v>4</v>
      </c>
      <c r="I10" s="16">
        <v>1</v>
      </c>
      <c r="J10" s="16">
        <v>0</v>
      </c>
      <c r="K10" s="16">
        <v>0</v>
      </c>
      <c r="L10" s="16">
        <v>0</v>
      </c>
      <c r="M10" s="16">
        <v>1</v>
      </c>
      <c r="N10" s="16">
        <v>3</v>
      </c>
      <c r="O10" s="16">
        <v>2</v>
      </c>
      <c r="P10" t="s">
        <v>2674</v>
      </c>
      <c r="Q10" t="s">
        <v>2560</v>
      </c>
      <c r="R10" t="s">
        <v>2993</v>
      </c>
    </row>
    <row r="11" spans="1:18" x14ac:dyDescent="0.15">
      <c r="A11" t="s">
        <v>2561</v>
      </c>
      <c r="B11" t="s">
        <v>2562</v>
      </c>
      <c r="C11" t="s">
        <v>2658</v>
      </c>
      <c r="D11">
        <v>6.73</v>
      </c>
      <c r="E11">
        <v>3.24</v>
      </c>
      <c r="F11" t="s">
        <v>2563</v>
      </c>
      <c r="G11" s="16">
        <v>3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1</v>
      </c>
      <c r="O11" s="16">
        <v>2</v>
      </c>
      <c r="P11" t="s">
        <v>2678</v>
      </c>
      <c r="Q11" t="s">
        <v>2564</v>
      </c>
      <c r="R11" t="s">
        <v>2565</v>
      </c>
    </row>
    <row r="12" spans="1:18" x14ac:dyDescent="0.15">
      <c r="A12" t="s">
        <v>2637</v>
      </c>
      <c r="B12" t="s">
        <v>2562</v>
      </c>
      <c r="C12" t="s">
        <v>2658</v>
      </c>
      <c r="D12">
        <v>1.48</v>
      </c>
      <c r="E12">
        <v>1</v>
      </c>
      <c r="F12" t="s">
        <v>2793</v>
      </c>
      <c r="G12" s="16">
        <v>1</v>
      </c>
      <c r="H12" s="16">
        <v>3</v>
      </c>
      <c r="I12" s="16">
        <v>3</v>
      </c>
      <c r="J12" s="16">
        <v>0</v>
      </c>
      <c r="K12" s="16">
        <v>0</v>
      </c>
      <c r="L12" s="16">
        <v>0</v>
      </c>
      <c r="M12" s="16">
        <v>0</v>
      </c>
      <c r="N12" s="16">
        <v>2</v>
      </c>
      <c r="O12" s="16">
        <v>1</v>
      </c>
      <c r="P12" t="s">
        <v>2678</v>
      </c>
      <c r="Q12" t="s">
        <v>2794</v>
      </c>
      <c r="R12" t="s">
        <v>2795</v>
      </c>
    </row>
    <row r="13" spans="1:18" x14ac:dyDescent="0.15">
      <c r="A13" t="s">
        <v>1417</v>
      </c>
      <c r="B13" t="s">
        <v>1215</v>
      </c>
      <c r="C13" t="s">
        <v>2667</v>
      </c>
      <c r="D13">
        <v>7.34</v>
      </c>
      <c r="E13">
        <v>3.27</v>
      </c>
      <c r="F13" t="s">
        <v>1216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</v>
      </c>
      <c r="N13" s="16">
        <v>2</v>
      </c>
      <c r="O13" s="16">
        <v>2</v>
      </c>
      <c r="P13" t="s">
        <v>1218</v>
      </c>
      <c r="Q13" t="s">
        <v>1219</v>
      </c>
    </row>
    <row r="14" spans="1:18" x14ac:dyDescent="0.15">
      <c r="A14" t="s">
        <v>1429</v>
      </c>
      <c r="B14" t="s">
        <v>1430</v>
      </c>
      <c r="C14" t="s">
        <v>2664</v>
      </c>
      <c r="D14">
        <v>6.3</v>
      </c>
      <c r="E14">
        <v>4.28</v>
      </c>
      <c r="F14" t="s">
        <v>1130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3</v>
      </c>
      <c r="P14" t="s">
        <v>1441</v>
      </c>
      <c r="Q14" t="s">
        <v>1139</v>
      </c>
      <c r="R14" t="s">
        <v>1223</v>
      </c>
    </row>
    <row r="15" spans="1:18" x14ac:dyDescent="0.15">
      <c r="A15" t="s">
        <v>1294</v>
      </c>
      <c r="B15" t="s">
        <v>1182</v>
      </c>
      <c r="C15" t="s">
        <v>2655</v>
      </c>
      <c r="D15">
        <v>8.93</v>
      </c>
      <c r="E15">
        <v>3.75</v>
      </c>
      <c r="F15" t="s">
        <v>1187</v>
      </c>
      <c r="G15" s="16">
        <v>0</v>
      </c>
      <c r="H15" s="16">
        <v>5</v>
      </c>
      <c r="I15" s="16">
        <v>2</v>
      </c>
      <c r="J15" s="16">
        <v>0</v>
      </c>
      <c r="K15" s="16">
        <v>0</v>
      </c>
      <c r="L15" s="16">
        <v>1</v>
      </c>
      <c r="M15" s="16">
        <v>2</v>
      </c>
      <c r="N15" s="16">
        <v>2</v>
      </c>
      <c r="O15" s="16">
        <v>1</v>
      </c>
      <c r="P15" t="s">
        <v>1183</v>
      </c>
      <c r="Q15" t="s">
        <v>1184</v>
      </c>
    </row>
    <row r="16" spans="1:18" x14ac:dyDescent="0.15">
      <c r="A16" t="s">
        <v>1355</v>
      </c>
      <c r="B16" t="s">
        <v>1236</v>
      </c>
      <c r="C16" t="s">
        <v>2655</v>
      </c>
      <c r="D16">
        <v>1.1299999999999999</v>
      </c>
      <c r="E16">
        <v>1.1599999999999999</v>
      </c>
      <c r="F16" t="s">
        <v>1356</v>
      </c>
      <c r="G16" s="16">
        <v>0</v>
      </c>
      <c r="H16" s="16">
        <v>0</v>
      </c>
      <c r="I16" s="16">
        <v>0</v>
      </c>
      <c r="J16" s="16">
        <v>1</v>
      </c>
      <c r="K16" s="16">
        <v>1</v>
      </c>
      <c r="L16" s="16">
        <v>0</v>
      </c>
      <c r="M16" s="16">
        <v>2</v>
      </c>
      <c r="N16" s="16">
        <v>2</v>
      </c>
      <c r="O16" s="16">
        <v>0</v>
      </c>
      <c r="P16" t="s">
        <v>1441</v>
      </c>
      <c r="Q16" t="s">
        <v>1237</v>
      </c>
    </row>
    <row r="17" spans="1:17" x14ac:dyDescent="0.15">
      <c r="A17" t="s">
        <v>1438</v>
      </c>
      <c r="B17" t="s">
        <v>1439</v>
      </c>
      <c r="C17" t="s">
        <v>2655</v>
      </c>
      <c r="D17">
        <v>4.4400000000000004</v>
      </c>
      <c r="E17">
        <v>1.74</v>
      </c>
      <c r="F17" t="s">
        <v>1440</v>
      </c>
      <c r="G17" s="16">
        <v>0</v>
      </c>
      <c r="H17" s="16">
        <v>2</v>
      </c>
      <c r="I17" s="16">
        <v>1</v>
      </c>
      <c r="J17" s="16">
        <v>0</v>
      </c>
      <c r="K17" s="16">
        <v>0</v>
      </c>
      <c r="L17" s="16">
        <v>0</v>
      </c>
      <c r="M17" s="16">
        <v>1</v>
      </c>
      <c r="N17" s="16">
        <v>2</v>
      </c>
      <c r="O17" s="16">
        <v>2</v>
      </c>
      <c r="P17" t="s">
        <v>1441</v>
      </c>
      <c r="Q17" t="s">
        <v>1059</v>
      </c>
    </row>
    <row r="18" spans="1:17" x14ac:dyDescent="0.15">
      <c r="A18" t="s">
        <v>2848</v>
      </c>
      <c r="B18" t="s">
        <v>2849</v>
      </c>
      <c r="C18" t="s">
        <v>2654</v>
      </c>
      <c r="D18">
        <v>6.84</v>
      </c>
      <c r="E18">
        <v>3.33</v>
      </c>
      <c r="F18" t="s">
        <v>2850</v>
      </c>
      <c r="G18" s="16">
        <v>0</v>
      </c>
      <c r="H18" s="16">
        <v>4</v>
      </c>
      <c r="I18" s="16">
        <v>2</v>
      </c>
      <c r="J18" s="16">
        <v>1</v>
      </c>
      <c r="K18" s="16">
        <v>1</v>
      </c>
      <c r="L18" s="16">
        <v>0</v>
      </c>
      <c r="M18" s="16">
        <v>1</v>
      </c>
      <c r="N18" s="16">
        <v>3</v>
      </c>
      <c r="O18" s="16">
        <v>2</v>
      </c>
      <c r="P18" t="s">
        <v>2678</v>
      </c>
      <c r="Q18" t="s">
        <v>2560</v>
      </c>
    </row>
    <row r="19" spans="1:17" x14ac:dyDescent="0.15">
      <c r="A19" t="s">
        <v>1295</v>
      </c>
      <c r="B19" t="s">
        <v>1293</v>
      </c>
      <c r="C19" t="s">
        <v>2655</v>
      </c>
      <c r="D19">
        <v>9.82</v>
      </c>
      <c r="E19">
        <v>4.93</v>
      </c>
      <c r="F19" t="s">
        <v>1188</v>
      </c>
      <c r="G19" s="16">
        <v>0</v>
      </c>
      <c r="H19" s="16">
        <v>1</v>
      </c>
      <c r="I19" s="16">
        <v>2</v>
      </c>
      <c r="J19" s="16">
        <v>1</v>
      </c>
      <c r="K19" s="16">
        <v>2</v>
      </c>
      <c r="L19" s="16">
        <v>1</v>
      </c>
      <c r="M19" s="16">
        <v>2</v>
      </c>
      <c r="N19" s="16">
        <v>2</v>
      </c>
      <c r="O19" s="16">
        <v>1</v>
      </c>
      <c r="P19" t="s">
        <v>1296</v>
      </c>
      <c r="Q19" t="s">
        <v>1184</v>
      </c>
    </row>
    <row r="20" spans="1:17" x14ac:dyDescent="0.15">
      <c r="A20" t="s">
        <v>1320</v>
      </c>
      <c r="B20" t="s">
        <v>1380</v>
      </c>
      <c r="C20" t="s">
        <v>2655</v>
      </c>
      <c r="D20">
        <v>4.08</v>
      </c>
      <c r="E20">
        <v>2.02</v>
      </c>
      <c r="F20" t="s">
        <v>1232</v>
      </c>
      <c r="G20" s="16">
        <v>0</v>
      </c>
      <c r="H20" s="16">
        <v>3</v>
      </c>
      <c r="I20" s="16">
        <v>2</v>
      </c>
      <c r="J20" s="16">
        <v>0</v>
      </c>
      <c r="K20" s="16">
        <v>0</v>
      </c>
      <c r="L20" s="16">
        <v>0</v>
      </c>
      <c r="M20" s="16">
        <v>1</v>
      </c>
      <c r="N20" s="16">
        <v>3</v>
      </c>
      <c r="O20" s="16">
        <v>2</v>
      </c>
      <c r="P20" t="s">
        <v>1296</v>
      </c>
      <c r="Q20" t="s">
        <v>1184</v>
      </c>
    </row>
    <row r="21" spans="1:17" x14ac:dyDescent="0.15">
      <c r="A21" t="s">
        <v>1178</v>
      </c>
      <c r="B21" t="s">
        <v>1380</v>
      </c>
      <c r="C21" t="s">
        <v>2655</v>
      </c>
      <c r="D21">
        <v>3.72</v>
      </c>
      <c r="E21">
        <v>1.96</v>
      </c>
      <c r="F21" t="s">
        <v>1179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2</v>
      </c>
      <c r="O21" s="16">
        <v>0</v>
      </c>
      <c r="P21" t="s">
        <v>1296</v>
      </c>
      <c r="Q21" t="s">
        <v>1004</v>
      </c>
    </row>
    <row r="22" spans="1:17" x14ac:dyDescent="0.15">
      <c r="A22" t="s">
        <v>1442</v>
      </c>
      <c r="B22" t="s">
        <v>1443</v>
      </c>
      <c r="C22" t="s">
        <v>2655</v>
      </c>
      <c r="D22">
        <v>4.0599999999999996</v>
      </c>
      <c r="E22">
        <v>1.57</v>
      </c>
      <c r="F22" t="s">
        <v>1337</v>
      </c>
      <c r="G22" s="16">
        <v>0</v>
      </c>
      <c r="H22" s="16">
        <v>2</v>
      </c>
      <c r="I22" s="16">
        <v>2</v>
      </c>
      <c r="J22" s="16">
        <v>0</v>
      </c>
      <c r="K22" s="16">
        <v>0</v>
      </c>
      <c r="L22" s="16">
        <v>0</v>
      </c>
      <c r="M22" s="16">
        <v>0</v>
      </c>
      <c r="N22" s="16">
        <v>3</v>
      </c>
      <c r="O22" s="16">
        <v>2</v>
      </c>
      <c r="P22" t="s">
        <v>1338</v>
      </c>
      <c r="Q22" t="s">
        <v>1053</v>
      </c>
    </row>
    <row r="23" spans="1:17" x14ac:dyDescent="0.15">
      <c r="A23" t="s">
        <v>973</v>
      </c>
      <c r="B23" t="s">
        <v>974</v>
      </c>
      <c r="C23" t="s">
        <v>2655</v>
      </c>
      <c r="D23">
        <v>4.3</v>
      </c>
      <c r="E23">
        <v>2.33</v>
      </c>
      <c r="F23" t="s">
        <v>1319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2</v>
      </c>
      <c r="O23" s="16">
        <v>2</v>
      </c>
      <c r="P23" t="s">
        <v>1338</v>
      </c>
      <c r="Q23" t="s">
        <v>975</v>
      </c>
    </row>
    <row r="24" spans="1:17" x14ac:dyDescent="0.15">
      <c r="A24" t="s">
        <v>1410</v>
      </c>
      <c r="B24" t="s">
        <v>1411</v>
      </c>
      <c r="C24" t="s">
        <v>2655</v>
      </c>
      <c r="D24">
        <v>2.2599999999999998</v>
      </c>
      <c r="E24">
        <v>0.93</v>
      </c>
      <c r="F24" t="s">
        <v>1504</v>
      </c>
      <c r="G24" s="16">
        <v>0</v>
      </c>
      <c r="H24" s="16">
        <v>1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2</v>
      </c>
      <c r="O24" s="16">
        <v>2</v>
      </c>
      <c r="P24" t="s">
        <v>978</v>
      </c>
      <c r="Q24" t="s">
        <v>1412</v>
      </c>
    </row>
    <row r="25" spans="1:17" x14ac:dyDescent="0.15">
      <c r="A25" t="s">
        <v>1434</v>
      </c>
      <c r="B25" t="s">
        <v>1411</v>
      </c>
      <c r="C25" t="s">
        <v>2655</v>
      </c>
      <c r="D25">
        <v>1.58</v>
      </c>
      <c r="E25">
        <v>1.1000000000000001</v>
      </c>
      <c r="F25" t="s">
        <v>983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2</v>
      </c>
      <c r="O25" s="16">
        <v>0</v>
      </c>
      <c r="P25" t="s">
        <v>978</v>
      </c>
      <c r="Q25" t="s">
        <v>1508</v>
      </c>
    </row>
    <row r="26" spans="1:17" x14ac:dyDescent="0.15">
      <c r="A26" t="s">
        <v>1349</v>
      </c>
      <c r="B26" t="s">
        <v>1350</v>
      </c>
      <c r="C26" t="s">
        <v>2655</v>
      </c>
      <c r="D26">
        <v>1.51</v>
      </c>
      <c r="E26">
        <v>0.86</v>
      </c>
      <c r="F26" t="s">
        <v>1353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2</v>
      </c>
      <c r="O26" s="16">
        <v>0</v>
      </c>
      <c r="P26" t="s">
        <v>1441</v>
      </c>
      <c r="Q26" t="s">
        <v>1354</v>
      </c>
    </row>
    <row r="27" spans="1:17" x14ac:dyDescent="0.15">
      <c r="A27" t="s">
        <v>1238</v>
      </c>
      <c r="B27" t="s">
        <v>1350</v>
      </c>
      <c r="C27" t="s">
        <v>2655</v>
      </c>
      <c r="D27">
        <v>3.97</v>
      </c>
      <c r="E27">
        <v>1.33</v>
      </c>
      <c r="F27" t="s">
        <v>1500</v>
      </c>
      <c r="G27" s="16">
        <v>0</v>
      </c>
      <c r="H27" s="16">
        <v>2</v>
      </c>
      <c r="I27" s="16">
        <v>3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2</v>
      </c>
      <c r="P27" t="s">
        <v>1441</v>
      </c>
      <c r="Q27" t="s">
        <v>1217</v>
      </c>
    </row>
    <row r="28" spans="1:17" x14ac:dyDescent="0.15">
      <c r="A28" t="s">
        <v>1259</v>
      </c>
      <c r="B28" t="s">
        <v>1350</v>
      </c>
      <c r="C28" t="s">
        <v>2655</v>
      </c>
      <c r="D28">
        <v>5.68</v>
      </c>
      <c r="E28">
        <v>1.87</v>
      </c>
      <c r="F28" t="s">
        <v>1330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2</v>
      </c>
      <c r="O28" s="16">
        <v>0</v>
      </c>
      <c r="P28" t="s">
        <v>1455</v>
      </c>
      <c r="Q28" t="s">
        <v>1354</v>
      </c>
    </row>
    <row r="29" spans="1:17" x14ac:dyDescent="0.15">
      <c r="A29" t="s">
        <v>1261</v>
      </c>
      <c r="B29" t="s">
        <v>1350</v>
      </c>
      <c r="C29" t="s">
        <v>2660</v>
      </c>
      <c r="D29">
        <v>1.54</v>
      </c>
      <c r="E29">
        <v>1.1200000000000001</v>
      </c>
      <c r="F29" t="s">
        <v>1210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3</v>
      </c>
      <c r="O29" s="16">
        <v>2</v>
      </c>
      <c r="P29" t="s">
        <v>1441</v>
      </c>
      <c r="Q29" t="s">
        <v>1211</v>
      </c>
    </row>
    <row r="30" spans="1:17" x14ac:dyDescent="0.15">
      <c r="A30" t="s">
        <v>1263</v>
      </c>
      <c r="B30" t="s">
        <v>1350</v>
      </c>
      <c r="C30" t="s">
        <v>2660</v>
      </c>
      <c r="D30">
        <v>2.33</v>
      </c>
      <c r="E30">
        <v>1.42</v>
      </c>
      <c r="F30" t="s">
        <v>1264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2</v>
      </c>
      <c r="O30" s="16">
        <v>1</v>
      </c>
      <c r="P30" t="s">
        <v>1265</v>
      </c>
      <c r="Q30" t="s">
        <v>1378</v>
      </c>
    </row>
    <row r="31" spans="1:17" x14ac:dyDescent="0.15">
      <c r="A31" t="s">
        <v>1310</v>
      </c>
      <c r="B31" t="s">
        <v>1350</v>
      </c>
      <c r="C31" t="s">
        <v>2655</v>
      </c>
      <c r="D31">
        <v>2.14</v>
      </c>
      <c r="E31">
        <v>1.1200000000000001</v>
      </c>
      <c r="F31" t="s">
        <v>1277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2</v>
      </c>
      <c r="O31" s="16">
        <v>2</v>
      </c>
      <c r="P31" t="s">
        <v>1278</v>
      </c>
      <c r="Q31" t="s">
        <v>1451</v>
      </c>
    </row>
    <row r="32" spans="1:17" x14ac:dyDescent="0.15">
      <c r="A32" t="s">
        <v>1163</v>
      </c>
      <c r="B32" t="s">
        <v>1350</v>
      </c>
      <c r="C32" t="s">
        <v>2655</v>
      </c>
      <c r="D32">
        <v>3.03</v>
      </c>
      <c r="E32">
        <v>1.29</v>
      </c>
      <c r="F32" t="s">
        <v>1164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2</v>
      </c>
      <c r="O32" s="16">
        <v>0</v>
      </c>
      <c r="P32" t="s">
        <v>1441</v>
      </c>
      <c r="Q32" t="s">
        <v>1354</v>
      </c>
    </row>
    <row r="33" spans="1:18" x14ac:dyDescent="0.15">
      <c r="A33" t="s">
        <v>1165</v>
      </c>
      <c r="B33" t="s">
        <v>1256</v>
      </c>
      <c r="C33" t="s">
        <v>2655</v>
      </c>
      <c r="D33">
        <v>2.75</v>
      </c>
      <c r="E33">
        <v>1.06</v>
      </c>
      <c r="F33" t="s">
        <v>1257</v>
      </c>
      <c r="G33" s="16">
        <v>0</v>
      </c>
      <c r="H33" s="16">
        <v>0</v>
      </c>
      <c r="I33" s="16">
        <v>0</v>
      </c>
      <c r="J33" s="16">
        <v>1</v>
      </c>
      <c r="K33" s="16">
        <v>2</v>
      </c>
      <c r="L33" s="16">
        <v>0</v>
      </c>
      <c r="M33" s="16">
        <v>1</v>
      </c>
      <c r="N33" s="16">
        <v>2</v>
      </c>
      <c r="O33" s="16">
        <v>2</v>
      </c>
      <c r="P33" t="s">
        <v>1441</v>
      </c>
      <c r="Q33" t="s">
        <v>1059</v>
      </c>
    </row>
    <row r="34" spans="1:18" x14ac:dyDescent="0.15">
      <c r="A34" t="s">
        <v>1127</v>
      </c>
      <c r="B34" t="s">
        <v>1256</v>
      </c>
      <c r="C34" t="s">
        <v>2655</v>
      </c>
      <c r="D34">
        <v>2.85</v>
      </c>
      <c r="E34">
        <v>1.36</v>
      </c>
      <c r="F34" t="s">
        <v>1128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2</v>
      </c>
      <c r="O34" s="16">
        <v>0</v>
      </c>
      <c r="P34" t="s">
        <v>1441</v>
      </c>
      <c r="Q34" t="s">
        <v>1354</v>
      </c>
    </row>
    <row r="35" spans="1:18" x14ac:dyDescent="0.15">
      <c r="A35" t="s">
        <v>1222</v>
      </c>
      <c r="B35" t="s">
        <v>1350</v>
      </c>
      <c r="C35" t="s">
        <v>2655</v>
      </c>
      <c r="D35">
        <v>3.59</v>
      </c>
      <c r="E35">
        <v>1.83</v>
      </c>
      <c r="F35" t="s">
        <v>1052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</v>
      </c>
      <c r="O35" s="16">
        <v>2</v>
      </c>
      <c r="P35" t="s">
        <v>1441</v>
      </c>
      <c r="Q35" t="s">
        <v>1139</v>
      </c>
    </row>
    <row r="36" spans="1:18" x14ac:dyDescent="0.15">
      <c r="A36" t="s">
        <v>1129</v>
      </c>
      <c r="B36" t="s">
        <v>1350</v>
      </c>
      <c r="C36" t="s">
        <v>2655</v>
      </c>
      <c r="D36">
        <v>6.54</v>
      </c>
      <c r="E36">
        <v>4.67</v>
      </c>
      <c r="F36" t="s">
        <v>1336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2</v>
      </c>
      <c r="P36" t="s">
        <v>1441</v>
      </c>
      <c r="Q36" t="s">
        <v>1139</v>
      </c>
    </row>
    <row r="37" spans="1:18" x14ac:dyDescent="0.15">
      <c r="A37" t="s">
        <v>1269</v>
      </c>
      <c r="B37" t="s">
        <v>1358</v>
      </c>
      <c r="C37" t="s">
        <v>2655</v>
      </c>
      <c r="D37">
        <v>3.82</v>
      </c>
      <c r="E37">
        <v>1.68</v>
      </c>
      <c r="F37" t="s">
        <v>1172</v>
      </c>
      <c r="G37" s="16">
        <v>0</v>
      </c>
      <c r="H37" s="16">
        <v>2</v>
      </c>
      <c r="I37" s="16">
        <v>2</v>
      </c>
      <c r="J37" s="16">
        <v>1</v>
      </c>
      <c r="K37" s="16">
        <v>1</v>
      </c>
      <c r="L37" s="16">
        <v>0</v>
      </c>
      <c r="M37" s="16">
        <v>1</v>
      </c>
      <c r="N37" s="16">
        <v>2</v>
      </c>
      <c r="O37" s="16">
        <v>2</v>
      </c>
      <c r="P37" t="s">
        <v>1173</v>
      </c>
      <c r="Q37" t="s">
        <v>1174</v>
      </c>
    </row>
    <row r="38" spans="1:18" x14ac:dyDescent="0.15">
      <c r="A38" t="s">
        <v>1171</v>
      </c>
      <c r="B38" t="s">
        <v>1358</v>
      </c>
      <c r="C38" t="s">
        <v>2655</v>
      </c>
      <c r="D38">
        <v>1.22</v>
      </c>
      <c r="E38">
        <v>0.7</v>
      </c>
      <c r="F38" t="s">
        <v>1086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</v>
      </c>
      <c r="N38" s="16">
        <v>2</v>
      </c>
      <c r="O38" s="16">
        <v>1</v>
      </c>
      <c r="P38" t="s">
        <v>1173</v>
      </c>
      <c r="Q38" t="s">
        <v>1087</v>
      </c>
    </row>
    <row r="39" spans="1:18" x14ac:dyDescent="0.15">
      <c r="A39" t="s">
        <v>1433</v>
      </c>
      <c r="B39" t="s">
        <v>1456</v>
      </c>
      <c r="C39" t="s">
        <v>2655</v>
      </c>
      <c r="D39">
        <v>1.63</v>
      </c>
      <c r="E39">
        <v>0.95</v>
      </c>
      <c r="F39" t="s">
        <v>1542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3</v>
      </c>
      <c r="O39" s="16">
        <v>2</v>
      </c>
      <c r="P39" t="s">
        <v>1372</v>
      </c>
      <c r="Q39" t="s">
        <v>1457</v>
      </c>
    </row>
    <row r="40" spans="1:18" x14ac:dyDescent="0.15">
      <c r="A40" t="s">
        <v>1446</v>
      </c>
      <c r="B40" t="s">
        <v>1456</v>
      </c>
      <c r="C40" t="s">
        <v>2655</v>
      </c>
      <c r="D40">
        <v>2.04</v>
      </c>
      <c r="E40">
        <v>0.87</v>
      </c>
      <c r="F40" t="s">
        <v>1447</v>
      </c>
      <c r="G40" s="16">
        <v>0</v>
      </c>
      <c r="H40" s="16">
        <v>2</v>
      </c>
      <c r="I40" s="16">
        <v>1</v>
      </c>
      <c r="J40" s="16">
        <v>1</v>
      </c>
      <c r="K40" s="16">
        <v>1</v>
      </c>
      <c r="L40" s="16">
        <v>0</v>
      </c>
      <c r="M40" s="16">
        <v>2</v>
      </c>
      <c r="N40" s="16">
        <v>2</v>
      </c>
      <c r="O40" s="16">
        <v>1</v>
      </c>
      <c r="P40" t="s">
        <v>1462</v>
      </c>
      <c r="Q40" t="s">
        <v>1373</v>
      </c>
    </row>
    <row r="41" spans="1:18" x14ac:dyDescent="0.15">
      <c r="A41" t="s">
        <v>1292</v>
      </c>
      <c r="B41" t="s">
        <v>1230</v>
      </c>
      <c r="C41" t="s">
        <v>2669</v>
      </c>
      <c r="D41">
        <v>3.32</v>
      </c>
      <c r="E41">
        <v>1.87</v>
      </c>
      <c r="F41" t="s">
        <v>1231</v>
      </c>
      <c r="G41" s="16">
        <v>0</v>
      </c>
      <c r="H41" s="16">
        <v>3</v>
      </c>
      <c r="I41" s="16">
        <v>1</v>
      </c>
      <c r="J41" s="16">
        <v>0</v>
      </c>
      <c r="K41" s="16">
        <v>0</v>
      </c>
      <c r="L41" s="16">
        <v>0</v>
      </c>
      <c r="M41" s="16">
        <v>0</v>
      </c>
      <c r="N41" s="16">
        <v>2</v>
      </c>
      <c r="O41" s="16">
        <v>0</v>
      </c>
      <c r="P41" t="s">
        <v>1415</v>
      </c>
      <c r="Q41" t="s">
        <v>1416</v>
      </c>
    </row>
    <row r="42" spans="1:18" x14ac:dyDescent="0.15">
      <c r="A42" t="s">
        <v>2676</v>
      </c>
      <c r="B42" t="s">
        <v>2654</v>
      </c>
      <c r="C42" t="s">
        <v>2654</v>
      </c>
      <c r="D42">
        <v>3.75</v>
      </c>
      <c r="E42">
        <v>1.75</v>
      </c>
      <c r="F42" t="s">
        <v>2677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2</v>
      </c>
      <c r="O42" s="16">
        <v>1</v>
      </c>
      <c r="P42" t="s">
        <v>2678</v>
      </c>
      <c r="Q42" t="s">
        <v>2679</v>
      </c>
    </row>
    <row r="43" spans="1:18" x14ac:dyDescent="0.15">
      <c r="A43" t="s">
        <v>2554</v>
      </c>
      <c r="B43" t="s">
        <v>2654</v>
      </c>
      <c r="C43" t="s">
        <v>2654</v>
      </c>
      <c r="D43">
        <v>2.96</v>
      </c>
      <c r="E43">
        <v>1.03</v>
      </c>
      <c r="F43" t="s">
        <v>2555</v>
      </c>
      <c r="G43" s="16">
        <v>0</v>
      </c>
      <c r="H43" s="16">
        <v>1</v>
      </c>
      <c r="I43" s="16">
        <v>1</v>
      </c>
      <c r="J43" s="16">
        <v>0</v>
      </c>
      <c r="K43" s="16">
        <v>0</v>
      </c>
      <c r="L43" s="16">
        <v>0</v>
      </c>
      <c r="M43" s="16">
        <v>0</v>
      </c>
      <c r="N43" s="16">
        <v>2</v>
      </c>
      <c r="O43" s="16">
        <v>2</v>
      </c>
      <c r="P43" t="s">
        <v>2678</v>
      </c>
      <c r="Q43" t="s">
        <v>2556</v>
      </c>
      <c r="R43" t="s">
        <v>2557</v>
      </c>
    </row>
    <row r="44" spans="1:18" x14ac:dyDescent="0.15">
      <c r="A44" t="s">
        <v>2558</v>
      </c>
      <c r="B44" t="s">
        <v>2654</v>
      </c>
      <c r="C44" t="s">
        <v>2654</v>
      </c>
      <c r="D44">
        <v>1.28</v>
      </c>
      <c r="E44">
        <v>0.68</v>
      </c>
      <c r="F44" t="s">
        <v>2559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6">
        <v>2</v>
      </c>
      <c r="O44" s="16">
        <v>1</v>
      </c>
      <c r="P44" t="s">
        <v>2678</v>
      </c>
      <c r="Q44" t="s">
        <v>2560</v>
      </c>
    </row>
    <row r="45" spans="1:18" x14ac:dyDescent="0.15">
      <c r="A45" t="s">
        <v>2569</v>
      </c>
      <c r="B45" t="s">
        <v>2654</v>
      </c>
      <c r="C45" t="s">
        <v>2654</v>
      </c>
      <c r="D45">
        <v>4.2699999999999996</v>
      </c>
      <c r="E45">
        <v>1.45</v>
      </c>
      <c r="F45" t="s">
        <v>2570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2</v>
      </c>
      <c r="O45" s="16">
        <v>0</v>
      </c>
      <c r="P45" t="s">
        <v>2678</v>
      </c>
      <c r="Q45" t="s">
        <v>2571</v>
      </c>
    </row>
    <row r="46" spans="1:18" x14ac:dyDescent="0.15">
      <c r="A46" t="s">
        <v>2709</v>
      </c>
      <c r="B46" t="s">
        <v>2654</v>
      </c>
      <c r="C46" t="s">
        <v>2654</v>
      </c>
      <c r="D46">
        <v>13.97</v>
      </c>
      <c r="E46">
        <v>5.27</v>
      </c>
      <c r="F46" t="s">
        <v>2710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</v>
      </c>
      <c r="N46" s="16">
        <v>2</v>
      </c>
      <c r="O46" s="16">
        <v>1</v>
      </c>
      <c r="P46" t="s">
        <v>2678</v>
      </c>
      <c r="Q46" t="s">
        <v>2560</v>
      </c>
      <c r="R46" t="s">
        <v>2711</v>
      </c>
    </row>
    <row r="47" spans="1:18" x14ac:dyDescent="0.15">
      <c r="A47" t="s">
        <v>2720</v>
      </c>
      <c r="B47" t="s">
        <v>2654</v>
      </c>
      <c r="C47" t="s">
        <v>2654</v>
      </c>
      <c r="D47">
        <v>12.22</v>
      </c>
      <c r="E47">
        <v>5.25</v>
      </c>
      <c r="F47" t="s">
        <v>2721</v>
      </c>
      <c r="G47" s="16">
        <v>0</v>
      </c>
      <c r="H47" s="16">
        <v>1</v>
      </c>
      <c r="I47" s="16">
        <v>1</v>
      </c>
      <c r="J47" s="16">
        <v>0</v>
      </c>
      <c r="K47" s="16">
        <v>0</v>
      </c>
      <c r="L47" s="16">
        <v>0</v>
      </c>
      <c r="M47" s="16">
        <v>1</v>
      </c>
      <c r="N47" s="16">
        <v>2</v>
      </c>
      <c r="O47" s="16">
        <v>1</v>
      </c>
      <c r="P47" t="s">
        <v>2678</v>
      </c>
      <c r="Q47" t="s">
        <v>2560</v>
      </c>
    </row>
    <row r="48" spans="1:18" x14ac:dyDescent="0.15">
      <c r="A48" t="s">
        <v>2735</v>
      </c>
      <c r="B48" t="s">
        <v>2654</v>
      </c>
      <c r="C48" t="s">
        <v>2654</v>
      </c>
      <c r="D48">
        <v>3.29</v>
      </c>
      <c r="E48">
        <v>1.96</v>
      </c>
      <c r="F48" t="s">
        <v>2736</v>
      </c>
      <c r="G48" s="16">
        <v>0</v>
      </c>
      <c r="H48" s="16">
        <v>0</v>
      </c>
      <c r="I48" s="16">
        <v>0</v>
      </c>
      <c r="J48" s="16">
        <v>2</v>
      </c>
      <c r="K48" s="16">
        <v>2</v>
      </c>
      <c r="L48" s="16">
        <v>0</v>
      </c>
      <c r="M48" s="16">
        <v>1</v>
      </c>
      <c r="N48" s="16">
        <v>2</v>
      </c>
      <c r="O48" s="16">
        <v>1</v>
      </c>
      <c r="P48" t="s">
        <v>2678</v>
      </c>
      <c r="Q48" t="s">
        <v>2560</v>
      </c>
    </row>
    <row r="49" spans="1:18" x14ac:dyDescent="0.15">
      <c r="A49" t="s">
        <v>2737</v>
      </c>
      <c r="B49" t="s">
        <v>2654</v>
      </c>
      <c r="C49" t="s">
        <v>2654</v>
      </c>
      <c r="D49">
        <v>1.74</v>
      </c>
      <c r="E49">
        <v>0.72</v>
      </c>
      <c r="F49" t="s">
        <v>2738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</v>
      </c>
      <c r="N49" s="16">
        <v>2</v>
      </c>
      <c r="O49" s="16">
        <v>1</v>
      </c>
      <c r="P49" t="s">
        <v>2678</v>
      </c>
      <c r="Q49" t="s">
        <v>2560</v>
      </c>
      <c r="R49" t="s">
        <v>2739</v>
      </c>
    </row>
    <row r="50" spans="1:18" x14ac:dyDescent="0.15">
      <c r="A50" t="s">
        <v>2760</v>
      </c>
      <c r="B50" t="s">
        <v>2654</v>
      </c>
      <c r="C50" t="s">
        <v>2654</v>
      </c>
      <c r="D50">
        <v>3.16</v>
      </c>
      <c r="E50">
        <v>1.49</v>
      </c>
      <c r="F50" t="s">
        <v>2761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6">
        <v>3</v>
      </c>
      <c r="O50" s="16">
        <v>2</v>
      </c>
      <c r="P50" t="s">
        <v>2678</v>
      </c>
      <c r="Q50" t="s">
        <v>2560</v>
      </c>
      <c r="R50" t="s">
        <v>2762</v>
      </c>
    </row>
    <row r="51" spans="1:18" x14ac:dyDescent="0.15">
      <c r="A51" t="s">
        <v>2622</v>
      </c>
      <c r="B51" t="s">
        <v>2654</v>
      </c>
      <c r="C51" t="s">
        <v>2654</v>
      </c>
      <c r="D51">
        <v>2.58</v>
      </c>
      <c r="E51">
        <v>1.2</v>
      </c>
      <c r="F51" t="s">
        <v>2623</v>
      </c>
      <c r="G51" s="16">
        <v>0</v>
      </c>
      <c r="H51" s="16">
        <v>0</v>
      </c>
      <c r="I51" s="16">
        <v>0</v>
      </c>
      <c r="J51" s="16">
        <v>1</v>
      </c>
      <c r="K51" s="16">
        <v>2</v>
      </c>
      <c r="L51" s="16">
        <v>0</v>
      </c>
      <c r="M51" s="16">
        <v>1</v>
      </c>
      <c r="N51" s="16">
        <v>2</v>
      </c>
      <c r="O51" s="16">
        <v>2</v>
      </c>
      <c r="P51" t="s">
        <v>2678</v>
      </c>
      <c r="Q51" t="s">
        <v>2560</v>
      </c>
      <c r="R51" t="s">
        <v>2624</v>
      </c>
    </row>
    <row r="52" spans="1:18" x14ac:dyDescent="0.15">
      <c r="A52" t="s">
        <v>2628</v>
      </c>
      <c r="B52" t="s">
        <v>2654</v>
      </c>
      <c r="C52" t="s">
        <v>2654</v>
      </c>
      <c r="D52">
        <v>3.09</v>
      </c>
      <c r="E52">
        <v>1.6</v>
      </c>
      <c r="F52" t="s">
        <v>2629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2</v>
      </c>
      <c r="O52" s="16">
        <v>2</v>
      </c>
      <c r="P52" t="s">
        <v>2678</v>
      </c>
      <c r="Q52" t="s">
        <v>2560</v>
      </c>
      <c r="R52" t="s">
        <v>2630</v>
      </c>
    </row>
    <row r="53" spans="1:18" x14ac:dyDescent="0.15">
      <c r="A53" t="s">
        <v>2634</v>
      </c>
      <c r="B53" t="s">
        <v>2654</v>
      </c>
      <c r="C53" t="s">
        <v>2654</v>
      </c>
      <c r="D53">
        <v>5.0999999999999996</v>
      </c>
      <c r="E53">
        <v>2.5099999999999998</v>
      </c>
      <c r="F53" t="s">
        <v>2635</v>
      </c>
      <c r="G53" s="16">
        <v>0</v>
      </c>
      <c r="H53" s="16">
        <v>1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2</v>
      </c>
      <c r="O53" s="16">
        <v>1</v>
      </c>
      <c r="P53" t="s">
        <v>2678</v>
      </c>
      <c r="Q53" t="s">
        <v>2675</v>
      </c>
      <c r="R53" t="s">
        <v>2636</v>
      </c>
    </row>
    <row r="54" spans="1:18" x14ac:dyDescent="0.15">
      <c r="A54" t="s">
        <v>2812</v>
      </c>
      <c r="B54" t="s">
        <v>2654</v>
      </c>
      <c r="C54" t="s">
        <v>2654</v>
      </c>
      <c r="D54">
        <v>2.2999999999999998</v>
      </c>
      <c r="E54">
        <v>0.98</v>
      </c>
      <c r="F54" t="s">
        <v>2813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2</v>
      </c>
      <c r="O54" s="16">
        <v>0</v>
      </c>
      <c r="P54" t="s">
        <v>2678</v>
      </c>
      <c r="Q54" t="s">
        <v>2571</v>
      </c>
      <c r="R54" t="s">
        <v>2814</v>
      </c>
    </row>
    <row r="55" spans="1:18" x14ac:dyDescent="0.15">
      <c r="A55" t="s">
        <v>2821</v>
      </c>
      <c r="B55" t="s">
        <v>2654</v>
      </c>
      <c r="C55" t="s">
        <v>2654</v>
      </c>
      <c r="D55">
        <v>2.83</v>
      </c>
      <c r="E55">
        <v>1.19</v>
      </c>
      <c r="F55" t="s">
        <v>2822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2</v>
      </c>
      <c r="O55" s="16">
        <v>0</v>
      </c>
      <c r="P55" t="s">
        <v>2678</v>
      </c>
      <c r="Q55" t="s">
        <v>2571</v>
      </c>
    </row>
    <row r="56" spans="1:18" x14ac:dyDescent="0.15">
      <c r="A56" t="s">
        <v>2825</v>
      </c>
      <c r="B56" t="s">
        <v>2654</v>
      </c>
      <c r="C56" t="s">
        <v>2654</v>
      </c>
      <c r="D56">
        <v>2.81</v>
      </c>
      <c r="E56">
        <v>1.43</v>
      </c>
      <c r="F56" t="s">
        <v>2826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</v>
      </c>
      <c r="N56" s="16">
        <v>2</v>
      </c>
      <c r="O56" s="16">
        <v>2</v>
      </c>
      <c r="P56" t="s">
        <v>2678</v>
      </c>
      <c r="Q56" t="s">
        <v>2560</v>
      </c>
      <c r="R56" s="9"/>
    </row>
    <row r="57" spans="1:18" x14ac:dyDescent="0.15">
      <c r="A57" t="s">
        <v>2846</v>
      </c>
      <c r="B57" t="s">
        <v>2654</v>
      </c>
      <c r="C57" t="s">
        <v>2654</v>
      </c>
      <c r="D57">
        <v>1.73</v>
      </c>
      <c r="E57">
        <v>0.91</v>
      </c>
      <c r="F57" t="s">
        <v>2847</v>
      </c>
      <c r="G57" s="16">
        <v>0</v>
      </c>
      <c r="H57" s="16">
        <v>3</v>
      </c>
      <c r="I57" s="16">
        <v>1</v>
      </c>
      <c r="J57" s="16">
        <v>0</v>
      </c>
      <c r="K57" s="16">
        <v>0</v>
      </c>
      <c r="L57" s="16">
        <v>0</v>
      </c>
      <c r="M57" s="16">
        <v>0</v>
      </c>
      <c r="N57" s="16">
        <v>2</v>
      </c>
      <c r="O57" s="16">
        <v>2</v>
      </c>
      <c r="P57" t="s">
        <v>2678</v>
      </c>
      <c r="Q57" t="s">
        <v>2679</v>
      </c>
    </row>
    <row r="58" spans="1:18" x14ac:dyDescent="0.15">
      <c r="A58" t="s">
        <v>2856</v>
      </c>
      <c r="B58" t="s">
        <v>2654</v>
      </c>
      <c r="C58" t="s">
        <v>2654</v>
      </c>
      <c r="D58">
        <v>3.91</v>
      </c>
      <c r="E58">
        <v>2.06</v>
      </c>
      <c r="F58" t="s">
        <v>2857</v>
      </c>
      <c r="G58" s="16">
        <v>0</v>
      </c>
      <c r="H58" s="16">
        <v>1</v>
      </c>
      <c r="I58" s="16">
        <v>1</v>
      </c>
      <c r="J58" s="16">
        <v>0</v>
      </c>
      <c r="K58" s="16">
        <v>0</v>
      </c>
      <c r="L58" s="16">
        <v>1</v>
      </c>
      <c r="M58" s="16">
        <v>0</v>
      </c>
      <c r="N58" s="16">
        <v>2</v>
      </c>
      <c r="O58" s="16">
        <v>1</v>
      </c>
      <c r="P58" t="s">
        <v>2678</v>
      </c>
      <c r="Q58" t="s">
        <v>2679</v>
      </c>
    </row>
    <row r="59" spans="1:18" x14ac:dyDescent="0.15">
      <c r="A59" t="s">
        <v>2687</v>
      </c>
      <c r="B59" t="s">
        <v>2654</v>
      </c>
      <c r="C59" t="s">
        <v>2654</v>
      </c>
      <c r="D59">
        <v>5.69</v>
      </c>
      <c r="E59">
        <v>2.25</v>
      </c>
      <c r="F59" t="s">
        <v>2688</v>
      </c>
      <c r="G59" s="16">
        <v>0</v>
      </c>
      <c r="H59" s="16">
        <v>1</v>
      </c>
      <c r="I59" s="16">
        <v>1</v>
      </c>
      <c r="J59" s="16">
        <v>0</v>
      </c>
      <c r="K59" s="16">
        <v>0</v>
      </c>
      <c r="L59" s="16">
        <v>0</v>
      </c>
      <c r="M59" s="16">
        <v>1</v>
      </c>
      <c r="N59" s="16">
        <v>2</v>
      </c>
      <c r="O59" s="16">
        <v>2</v>
      </c>
      <c r="P59" t="s">
        <v>2678</v>
      </c>
      <c r="Q59" t="s">
        <v>2560</v>
      </c>
    </row>
    <row r="60" spans="1:18" x14ac:dyDescent="0.15">
      <c r="A60" t="s">
        <v>2701</v>
      </c>
      <c r="B60" t="s">
        <v>2654</v>
      </c>
      <c r="C60" t="s">
        <v>2654</v>
      </c>
      <c r="D60">
        <v>2.29</v>
      </c>
      <c r="E60">
        <v>1.07</v>
      </c>
      <c r="F60" t="s">
        <v>2702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2</v>
      </c>
      <c r="O60" s="16">
        <v>2</v>
      </c>
      <c r="P60" t="s">
        <v>2678</v>
      </c>
      <c r="Q60" t="s">
        <v>2679</v>
      </c>
    </row>
    <row r="61" spans="1:18" x14ac:dyDescent="0.15">
      <c r="A61" t="s">
        <v>2703</v>
      </c>
      <c r="B61" t="s">
        <v>2654</v>
      </c>
      <c r="C61" t="s">
        <v>2654</v>
      </c>
      <c r="D61">
        <v>3.03</v>
      </c>
      <c r="E61">
        <v>1.59</v>
      </c>
      <c r="F61" t="s">
        <v>2704</v>
      </c>
      <c r="G61" s="16">
        <v>0</v>
      </c>
      <c r="H61" s="16">
        <v>1</v>
      </c>
      <c r="I61" s="16">
        <v>1</v>
      </c>
      <c r="J61" s="16">
        <v>0</v>
      </c>
      <c r="K61" s="16">
        <v>0</v>
      </c>
      <c r="L61" s="16">
        <v>0</v>
      </c>
      <c r="M61" s="16">
        <v>1</v>
      </c>
      <c r="N61" s="16">
        <v>2</v>
      </c>
      <c r="O61" s="16">
        <v>1</v>
      </c>
      <c r="P61" t="s">
        <v>2678</v>
      </c>
      <c r="Q61" t="s">
        <v>2560</v>
      </c>
      <c r="R61" t="s">
        <v>2705</v>
      </c>
    </row>
    <row r="62" spans="1:18" x14ac:dyDescent="0.15">
      <c r="A62" t="s">
        <v>2900</v>
      </c>
      <c r="B62" t="s">
        <v>2654</v>
      </c>
      <c r="C62" t="s">
        <v>2654</v>
      </c>
      <c r="D62">
        <v>4.63</v>
      </c>
      <c r="E62">
        <v>1.84</v>
      </c>
      <c r="F62" t="s">
        <v>2901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1</v>
      </c>
      <c r="N62" s="16">
        <v>2</v>
      </c>
      <c r="O62" s="16">
        <v>1</v>
      </c>
      <c r="P62" t="s">
        <v>2678</v>
      </c>
      <c r="Q62" t="s">
        <v>2560</v>
      </c>
      <c r="R62" s="9"/>
    </row>
    <row r="63" spans="1:18" x14ac:dyDescent="0.15">
      <c r="A63" t="s">
        <v>2917</v>
      </c>
      <c r="B63" t="s">
        <v>2654</v>
      </c>
      <c r="C63" t="s">
        <v>2654</v>
      </c>
      <c r="D63">
        <v>1.7</v>
      </c>
      <c r="E63">
        <v>1.23</v>
      </c>
      <c r="F63" t="s">
        <v>2918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2</v>
      </c>
      <c r="O63" s="16">
        <v>2</v>
      </c>
      <c r="P63" t="s">
        <v>2678</v>
      </c>
      <c r="Q63" t="s">
        <v>2679</v>
      </c>
      <c r="R63" t="s">
        <v>2919</v>
      </c>
    </row>
    <row r="64" spans="1:18" x14ac:dyDescent="0.15">
      <c r="A64" t="s">
        <v>2929</v>
      </c>
      <c r="B64" t="s">
        <v>2654</v>
      </c>
      <c r="C64" t="s">
        <v>2654</v>
      </c>
      <c r="D64">
        <v>4.3499999999999996</v>
      </c>
      <c r="E64">
        <v>2.5299999999999998</v>
      </c>
      <c r="F64" t="s">
        <v>2930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2</v>
      </c>
      <c r="O64" s="16">
        <v>1</v>
      </c>
      <c r="P64" t="s">
        <v>2678</v>
      </c>
      <c r="Q64" t="s">
        <v>2679</v>
      </c>
      <c r="R64" t="s">
        <v>2931</v>
      </c>
    </row>
    <row r="65" spans="1:18" x14ac:dyDescent="0.15">
      <c r="A65" t="s">
        <v>2936</v>
      </c>
      <c r="B65" t="s">
        <v>2654</v>
      </c>
      <c r="C65" t="s">
        <v>2654</v>
      </c>
      <c r="D65">
        <v>1.29</v>
      </c>
      <c r="E65">
        <v>1.32</v>
      </c>
      <c r="F65" t="s">
        <v>2937</v>
      </c>
      <c r="G65" s="16">
        <v>0</v>
      </c>
      <c r="H65" s="16">
        <v>3</v>
      </c>
      <c r="I65" s="16">
        <v>2</v>
      </c>
      <c r="J65" s="16">
        <v>0</v>
      </c>
      <c r="K65" s="16">
        <v>0</v>
      </c>
      <c r="L65" s="16">
        <v>0</v>
      </c>
      <c r="M65" s="16">
        <v>0</v>
      </c>
      <c r="N65" s="16">
        <v>2</v>
      </c>
      <c r="O65" s="16">
        <v>0</v>
      </c>
      <c r="P65" t="s">
        <v>2678</v>
      </c>
      <c r="Q65" t="s">
        <v>2938</v>
      </c>
      <c r="R65" t="s">
        <v>2939</v>
      </c>
    </row>
    <row r="66" spans="1:18" x14ac:dyDescent="0.15">
      <c r="A66" t="s">
        <v>2947</v>
      </c>
      <c r="B66" t="s">
        <v>2654</v>
      </c>
      <c r="C66" t="s">
        <v>2654</v>
      </c>
      <c r="D66">
        <v>4.91</v>
      </c>
      <c r="E66">
        <v>2.19</v>
      </c>
      <c r="F66" t="s">
        <v>2948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2</v>
      </c>
      <c r="O66" s="16">
        <v>0</v>
      </c>
      <c r="P66" t="s">
        <v>2678</v>
      </c>
      <c r="Q66" t="s">
        <v>2571</v>
      </c>
    </row>
    <row r="67" spans="1:18" x14ac:dyDescent="0.15">
      <c r="A67" t="s">
        <v>2777</v>
      </c>
      <c r="B67" t="s">
        <v>2654</v>
      </c>
      <c r="C67" t="s">
        <v>2654</v>
      </c>
      <c r="D67">
        <v>2.74</v>
      </c>
      <c r="E67">
        <v>1.34</v>
      </c>
      <c r="F67" t="s">
        <v>2778</v>
      </c>
      <c r="G67" s="16">
        <v>0</v>
      </c>
      <c r="H67" s="16">
        <v>2</v>
      </c>
      <c r="I67" s="16">
        <v>1</v>
      </c>
      <c r="J67" s="16">
        <v>0</v>
      </c>
      <c r="K67" s="16">
        <v>0</v>
      </c>
      <c r="L67" s="16">
        <v>0</v>
      </c>
      <c r="M67" s="16">
        <v>0</v>
      </c>
      <c r="N67" s="16">
        <v>2</v>
      </c>
      <c r="O67" s="16">
        <v>0</v>
      </c>
      <c r="P67" t="s">
        <v>2678</v>
      </c>
      <c r="Q67" t="s">
        <v>2938</v>
      </c>
      <c r="R67" s="9"/>
    </row>
    <row r="68" spans="1:18" x14ac:dyDescent="0.15">
      <c r="A68" t="s">
        <v>2784</v>
      </c>
      <c r="B68" t="s">
        <v>2654</v>
      </c>
      <c r="C68" t="s">
        <v>2654</v>
      </c>
      <c r="D68">
        <v>5.84</v>
      </c>
      <c r="E68">
        <v>3.51</v>
      </c>
      <c r="F68" t="s">
        <v>2785</v>
      </c>
      <c r="G68" s="16">
        <v>0</v>
      </c>
      <c r="H68" s="16">
        <v>5</v>
      </c>
      <c r="I68" s="16">
        <v>1</v>
      </c>
      <c r="J68" s="16">
        <v>1</v>
      </c>
      <c r="K68" s="16">
        <v>2</v>
      </c>
      <c r="L68" s="16">
        <v>0</v>
      </c>
      <c r="M68" s="16">
        <v>1</v>
      </c>
      <c r="N68" s="16">
        <v>2</v>
      </c>
      <c r="O68" s="16">
        <v>2</v>
      </c>
      <c r="P68" t="s">
        <v>2678</v>
      </c>
      <c r="Q68" t="s">
        <v>2560</v>
      </c>
      <c r="R68" t="s">
        <v>2786</v>
      </c>
    </row>
    <row r="69" spans="1:18" x14ac:dyDescent="0.15">
      <c r="A69" t="s">
        <v>2787</v>
      </c>
      <c r="B69" t="s">
        <v>2654</v>
      </c>
      <c r="C69" t="s">
        <v>2654</v>
      </c>
      <c r="D69">
        <v>3.33</v>
      </c>
      <c r="E69">
        <v>1.4</v>
      </c>
      <c r="F69" t="s">
        <v>2788</v>
      </c>
      <c r="G69" s="16">
        <v>0</v>
      </c>
      <c r="H69" s="16">
        <v>0</v>
      </c>
      <c r="I69" s="16">
        <v>0</v>
      </c>
      <c r="J69" s="16">
        <v>2</v>
      </c>
      <c r="K69" s="16">
        <v>2</v>
      </c>
      <c r="L69" s="16">
        <v>1</v>
      </c>
      <c r="M69" s="16">
        <v>1</v>
      </c>
      <c r="N69" s="16">
        <v>2</v>
      </c>
      <c r="O69" s="16">
        <v>2</v>
      </c>
      <c r="P69" t="s">
        <v>2678</v>
      </c>
      <c r="Q69" t="s">
        <v>2560</v>
      </c>
      <c r="R69" s="9"/>
    </row>
    <row r="70" spans="1:18" x14ac:dyDescent="0.15">
      <c r="A70" t="s">
        <v>2977</v>
      </c>
      <c r="B70" t="s">
        <v>2654</v>
      </c>
      <c r="C70" t="s">
        <v>2654</v>
      </c>
      <c r="D70">
        <v>4.78</v>
      </c>
      <c r="E70">
        <v>1.41</v>
      </c>
      <c r="F70" t="s">
        <v>2978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</v>
      </c>
      <c r="N70" s="16">
        <v>2</v>
      </c>
      <c r="O70" s="16">
        <v>0</v>
      </c>
      <c r="P70" t="s">
        <v>2678</v>
      </c>
      <c r="Q70" t="s">
        <v>2946</v>
      </c>
    </row>
    <row r="71" spans="1:18" x14ac:dyDescent="0.15">
      <c r="A71" t="s">
        <v>2878</v>
      </c>
      <c r="B71" t="s">
        <v>2654</v>
      </c>
      <c r="C71" t="s">
        <v>2654</v>
      </c>
      <c r="D71">
        <v>2.61</v>
      </c>
      <c r="E71">
        <v>1.93</v>
      </c>
      <c r="F71" t="s">
        <v>2879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2</v>
      </c>
      <c r="O71" s="16">
        <v>0</v>
      </c>
      <c r="P71" t="s">
        <v>2678</v>
      </c>
      <c r="Q71" t="s">
        <v>2571</v>
      </c>
    </row>
    <row r="72" spans="1:18" x14ac:dyDescent="0.15">
      <c r="A72" t="s">
        <v>2880</v>
      </c>
      <c r="B72" t="s">
        <v>2654</v>
      </c>
      <c r="C72" t="s">
        <v>2654</v>
      </c>
      <c r="D72">
        <v>3.04</v>
      </c>
      <c r="E72">
        <v>1.27</v>
      </c>
      <c r="F72" t="s">
        <v>2881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2</v>
      </c>
      <c r="O72" s="16">
        <v>0</v>
      </c>
      <c r="P72" t="s">
        <v>2678</v>
      </c>
      <c r="Q72" t="s">
        <v>2571</v>
      </c>
    </row>
    <row r="73" spans="1:18" x14ac:dyDescent="0.15">
      <c r="A73" t="s">
        <v>976</v>
      </c>
      <c r="B73" t="s">
        <v>977</v>
      </c>
      <c r="C73" t="s">
        <v>2655</v>
      </c>
      <c r="D73">
        <v>2.77</v>
      </c>
      <c r="E73">
        <v>1.69</v>
      </c>
      <c r="F73" t="s">
        <v>1503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1</v>
      </c>
      <c r="N73" s="16">
        <v>3</v>
      </c>
      <c r="O73" s="16">
        <v>2</v>
      </c>
      <c r="P73" t="s">
        <v>978</v>
      </c>
      <c r="Q73" t="s">
        <v>979</v>
      </c>
    </row>
    <row r="74" spans="1:18" x14ac:dyDescent="0.15">
      <c r="A74" t="s">
        <v>1505</v>
      </c>
      <c r="B74" t="s">
        <v>1506</v>
      </c>
      <c r="C74" t="s">
        <v>2655</v>
      </c>
      <c r="D74">
        <v>2.81</v>
      </c>
      <c r="E74">
        <v>1.45</v>
      </c>
      <c r="F74" t="s">
        <v>1507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2</v>
      </c>
      <c r="O74" s="16">
        <v>0</v>
      </c>
      <c r="P74" t="s">
        <v>978</v>
      </c>
      <c r="Q74" t="s">
        <v>1508</v>
      </c>
    </row>
    <row r="75" spans="1:18" x14ac:dyDescent="0.15">
      <c r="A75" t="s">
        <v>1377</v>
      </c>
      <c r="B75" t="s">
        <v>977</v>
      </c>
      <c r="C75" t="s">
        <v>2655</v>
      </c>
      <c r="D75">
        <v>7.97</v>
      </c>
      <c r="E75">
        <v>3.06</v>
      </c>
      <c r="F75" t="s">
        <v>1235</v>
      </c>
      <c r="G75" s="16">
        <v>0</v>
      </c>
      <c r="H75" s="16">
        <v>0</v>
      </c>
      <c r="I75" s="16">
        <v>0</v>
      </c>
      <c r="J75" s="16">
        <v>2</v>
      </c>
      <c r="K75" s="16">
        <v>2</v>
      </c>
      <c r="L75" s="16">
        <v>0</v>
      </c>
      <c r="M75" s="16">
        <v>1</v>
      </c>
      <c r="N75" s="16">
        <v>1</v>
      </c>
      <c r="O75" s="16">
        <v>2</v>
      </c>
      <c r="P75" t="s">
        <v>978</v>
      </c>
      <c r="Q75" t="s">
        <v>979</v>
      </c>
    </row>
    <row r="76" spans="1:18" x14ac:dyDescent="0.15">
      <c r="A76" t="s">
        <v>1436</v>
      </c>
      <c r="B76" t="s">
        <v>1437</v>
      </c>
      <c r="C76" t="s">
        <v>2655</v>
      </c>
      <c r="D76">
        <v>2.95</v>
      </c>
      <c r="E76">
        <v>1.51</v>
      </c>
      <c r="F76" t="s">
        <v>1309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</v>
      </c>
      <c r="N76" s="16">
        <v>1</v>
      </c>
      <c r="O76" s="16">
        <v>2</v>
      </c>
      <c r="P76" t="s">
        <v>1381</v>
      </c>
      <c r="Q76" t="s">
        <v>1445</v>
      </c>
    </row>
    <row r="77" spans="1:18" x14ac:dyDescent="0.15">
      <c r="A77" t="s">
        <v>1516</v>
      </c>
      <c r="B77" t="s">
        <v>1517</v>
      </c>
      <c r="C77" t="s">
        <v>2655</v>
      </c>
      <c r="D77">
        <v>2.7</v>
      </c>
      <c r="E77">
        <v>1.56</v>
      </c>
      <c r="F77" t="s">
        <v>1518</v>
      </c>
      <c r="G77" s="16">
        <v>0</v>
      </c>
      <c r="H77" s="16">
        <v>2</v>
      </c>
      <c r="I77" s="16">
        <v>2</v>
      </c>
      <c r="J77" s="16">
        <v>0</v>
      </c>
      <c r="K77" s="16">
        <v>0</v>
      </c>
      <c r="L77" s="16">
        <v>0</v>
      </c>
      <c r="M77" s="16">
        <v>0</v>
      </c>
      <c r="N77" s="16">
        <v>2</v>
      </c>
      <c r="O77" s="16">
        <v>2</v>
      </c>
      <c r="P77" t="s">
        <v>1519</v>
      </c>
      <c r="Q77" t="s">
        <v>1520</v>
      </c>
    </row>
    <row r="78" spans="1:18" x14ac:dyDescent="0.15">
      <c r="A78" t="s">
        <v>1260</v>
      </c>
      <c r="B78" t="s">
        <v>1333</v>
      </c>
      <c r="C78" t="s">
        <v>2655</v>
      </c>
      <c r="D78">
        <v>1.05</v>
      </c>
      <c r="E78">
        <v>0.71</v>
      </c>
      <c r="F78" t="s">
        <v>1049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2</v>
      </c>
      <c r="O78" s="16">
        <v>0</v>
      </c>
      <c r="P78" t="s">
        <v>1441</v>
      </c>
      <c r="Q78" t="s">
        <v>1354</v>
      </c>
      <c r="R78" t="s">
        <v>1306</v>
      </c>
    </row>
    <row r="79" spans="1:18" x14ac:dyDescent="0.15">
      <c r="A79" t="s">
        <v>1389</v>
      </c>
      <c r="B79" t="s">
        <v>1333</v>
      </c>
      <c r="C79" t="s">
        <v>2660</v>
      </c>
      <c r="D79">
        <v>1.93</v>
      </c>
      <c r="E79">
        <v>1.42</v>
      </c>
      <c r="F79" t="s">
        <v>1390</v>
      </c>
      <c r="G79" s="16">
        <v>0</v>
      </c>
      <c r="H79" s="16">
        <v>2</v>
      </c>
      <c r="I79" s="16">
        <v>3</v>
      </c>
      <c r="J79" s="16">
        <v>0</v>
      </c>
      <c r="K79" s="16">
        <v>0</v>
      </c>
      <c r="L79" s="16">
        <v>0</v>
      </c>
      <c r="M79" s="16">
        <v>0</v>
      </c>
      <c r="N79" s="16">
        <v>1</v>
      </c>
      <c r="O79" s="16">
        <v>2</v>
      </c>
      <c r="P79" t="s">
        <v>1441</v>
      </c>
      <c r="Q79" t="s">
        <v>1139</v>
      </c>
    </row>
    <row r="80" spans="1:18" x14ac:dyDescent="0.15">
      <c r="A80" t="s">
        <v>1008</v>
      </c>
      <c r="B80" t="s">
        <v>1247</v>
      </c>
      <c r="C80" t="s">
        <v>2655</v>
      </c>
      <c r="D80">
        <v>3.02</v>
      </c>
      <c r="E80">
        <v>0.99</v>
      </c>
      <c r="F80" t="s">
        <v>1162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2</v>
      </c>
      <c r="O80" s="16">
        <v>0</v>
      </c>
      <c r="P80" t="s">
        <v>1441</v>
      </c>
      <c r="Q80" t="s">
        <v>1354</v>
      </c>
    </row>
    <row r="81" spans="1:18" x14ac:dyDescent="0.15">
      <c r="A81" t="s">
        <v>2767</v>
      </c>
      <c r="B81" t="s">
        <v>2768</v>
      </c>
      <c r="C81" t="s">
        <v>2654</v>
      </c>
      <c r="D81">
        <v>3.08</v>
      </c>
      <c r="E81">
        <v>1.37</v>
      </c>
      <c r="F81" t="s">
        <v>2621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2</v>
      </c>
      <c r="O81" s="16">
        <v>2</v>
      </c>
      <c r="P81" t="s">
        <v>2674</v>
      </c>
      <c r="Q81" t="s">
        <v>2679</v>
      </c>
      <c r="R81" s="9"/>
    </row>
    <row r="82" spans="1:18" x14ac:dyDescent="0.15">
      <c r="A82" t="s">
        <v>2803</v>
      </c>
      <c r="B82" t="s">
        <v>2768</v>
      </c>
      <c r="C82" t="s">
        <v>2654</v>
      </c>
      <c r="D82">
        <v>5.2</v>
      </c>
      <c r="E82">
        <v>2.4300000000000002</v>
      </c>
      <c r="F82" t="s">
        <v>2804</v>
      </c>
      <c r="G82" s="16">
        <v>0</v>
      </c>
      <c r="H82" s="16">
        <v>2</v>
      </c>
      <c r="I82" s="16">
        <v>2</v>
      </c>
      <c r="J82" s="16">
        <v>0</v>
      </c>
      <c r="K82" s="16">
        <v>0</v>
      </c>
      <c r="L82" s="16">
        <v>0</v>
      </c>
      <c r="M82" s="16">
        <v>0</v>
      </c>
      <c r="N82" s="16">
        <v>1</v>
      </c>
      <c r="O82" s="16">
        <v>1</v>
      </c>
      <c r="P82" t="s">
        <v>2678</v>
      </c>
      <c r="Q82" t="s">
        <v>2679</v>
      </c>
    </row>
    <row r="83" spans="1:18" x14ac:dyDescent="0.15">
      <c r="A83" t="s">
        <v>2835</v>
      </c>
      <c r="B83" t="s">
        <v>2768</v>
      </c>
      <c r="C83" t="s">
        <v>2654</v>
      </c>
      <c r="D83">
        <v>3.97</v>
      </c>
      <c r="E83">
        <v>1.4</v>
      </c>
      <c r="F83" t="s">
        <v>2836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1</v>
      </c>
      <c r="P83" t="s">
        <v>2678</v>
      </c>
      <c r="Q83" t="s">
        <v>2679</v>
      </c>
      <c r="R83" s="9"/>
    </row>
    <row r="84" spans="1:18" x14ac:dyDescent="0.15">
      <c r="A84" t="s">
        <v>2902</v>
      </c>
      <c r="B84" t="s">
        <v>2768</v>
      </c>
      <c r="C84" t="s">
        <v>2654</v>
      </c>
      <c r="D84">
        <v>7.67</v>
      </c>
      <c r="E84">
        <v>2.97</v>
      </c>
      <c r="F84" t="s">
        <v>2903</v>
      </c>
      <c r="G84" s="16">
        <v>0</v>
      </c>
      <c r="H84" s="16">
        <v>5</v>
      </c>
      <c r="I84" s="16">
        <v>2</v>
      </c>
      <c r="J84" s="16">
        <v>0</v>
      </c>
      <c r="K84" s="16">
        <v>0</v>
      </c>
      <c r="L84" s="16">
        <v>0</v>
      </c>
      <c r="M84" s="16">
        <v>1</v>
      </c>
      <c r="N84" s="16">
        <v>1</v>
      </c>
      <c r="O84" s="16">
        <v>1</v>
      </c>
      <c r="P84" t="s">
        <v>2678</v>
      </c>
      <c r="Q84" t="s">
        <v>2675</v>
      </c>
      <c r="R84" t="s">
        <v>2904</v>
      </c>
    </row>
    <row r="85" spans="1:18" x14ac:dyDescent="0.15">
      <c r="A85" t="s">
        <v>2912</v>
      </c>
      <c r="B85" t="s">
        <v>2768</v>
      </c>
      <c r="C85" t="s">
        <v>2654</v>
      </c>
      <c r="D85">
        <v>2.98</v>
      </c>
      <c r="E85">
        <v>1.48</v>
      </c>
      <c r="F85" t="s">
        <v>2913</v>
      </c>
      <c r="G85" s="16">
        <v>0</v>
      </c>
      <c r="H85" s="16">
        <v>1</v>
      </c>
      <c r="I85" s="16">
        <v>1</v>
      </c>
      <c r="J85" s="16">
        <v>0</v>
      </c>
      <c r="K85" s="16">
        <v>0</v>
      </c>
      <c r="L85" s="16">
        <v>0</v>
      </c>
      <c r="M85" s="16">
        <v>1</v>
      </c>
      <c r="N85" s="16">
        <v>2</v>
      </c>
      <c r="O85" s="16">
        <v>2</v>
      </c>
      <c r="P85" t="s">
        <v>2678</v>
      </c>
      <c r="Q85" t="s">
        <v>2560</v>
      </c>
    </row>
    <row r="86" spans="1:18" x14ac:dyDescent="0.15">
      <c r="A86" t="s">
        <v>2775</v>
      </c>
      <c r="B86" t="s">
        <v>2768</v>
      </c>
      <c r="C86" t="s">
        <v>2654</v>
      </c>
      <c r="D86">
        <v>3.08</v>
      </c>
      <c r="E86">
        <v>1.67</v>
      </c>
      <c r="F86" t="s">
        <v>2776</v>
      </c>
      <c r="G86" s="16">
        <v>0</v>
      </c>
      <c r="H86" s="16">
        <v>2</v>
      </c>
      <c r="I86" s="16">
        <v>2</v>
      </c>
      <c r="J86" s="16">
        <v>0</v>
      </c>
      <c r="K86" s="16">
        <v>0</v>
      </c>
      <c r="L86" s="16">
        <v>0</v>
      </c>
      <c r="M86" s="16">
        <v>1</v>
      </c>
      <c r="N86" s="16">
        <v>2</v>
      </c>
      <c r="O86" s="16">
        <v>0</v>
      </c>
      <c r="P86" t="s">
        <v>2678</v>
      </c>
      <c r="Q86" t="s">
        <v>2946</v>
      </c>
      <c r="R86" s="9"/>
    </row>
    <row r="87" spans="1:18" x14ac:dyDescent="0.15">
      <c r="A87" t="s">
        <v>1154</v>
      </c>
      <c r="B87" t="s">
        <v>1156</v>
      </c>
      <c r="C87" t="s">
        <v>2655</v>
      </c>
      <c r="D87">
        <v>7.33</v>
      </c>
      <c r="E87">
        <v>3.08</v>
      </c>
      <c r="F87" t="s">
        <v>1157</v>
      </c>
      <c r="G87" s="16">
        <v>0</v>
      </c>
      <c r="H87" s="16">
        <v>4</v>
      </c>
      <c r="I87" s="16">
        <v>2</v>
      </c>
      <c r="J87" s="16">
        <v>0</v>
      </c>
      <c r="K87" s="16">
        <v>0</v>
      </c>
      <c r="L87" s="16">
        <v>1</v>
      </c>
      <c r="M87" s="16">
        <v>1</v>
      </c>
      <c r="N87" s="16">
        <v>3</v>
      </c>
      <c r="O87" s="16">
        <v>2</v>
      </c>
      <c r="P87" t="s">
        <v>1158</v>
      </c>
      <c r="Q87" t="s">
        <v>1324</v>
      </c>
    </row>
    <row r="88" spans="1:18" x14ac:dyDescent="0.15">
      <c r="A88" t="s">
        <v>1546</v>
      </c>
      <c r="B88" t="s">
        <v>1547</v>
      </c>
      <c r="C88" t="s">
        <v>2655</v>
      </c>
      <c r="D88">
        <v>2.4700000000000002</v>
      </c>
      <c r="E88">
        <v>1.31</v>
      </c>
      <c r="F88" t="s">
        <v>1548</v>
      </c>
      <c r="G88" s="16">
        <v>0</v>
      </c>
      <c r="H88" s="16">
        <v>2</v>
      </c>
      <c r="I88" s="16">
        <v>1</v>
      </c>
      <c r="J88" s="16">
        <v>0</v>
      </c>
      <c r="K88" s="16">
        <v>0</v>
      </c>
      <c r="L88" s="16">
        <v>1</v>
      </c>
      <c r="M88" s="16">
        <v>1</v>
      </c>
      <c r="N88" s="16">
        <v>3</v>
      </c>
      <c r="O88" s="16">
        <v>2</v>
      </c>
      <c r="P88" t="s">
        <v>1519</v>
      </c>
      <c r="Q88" t="s">
        <v>1471</v>
      </c>
    </row>
    <row r="89" spans="1:18" x14ac:dyDescent="0.15">
      <c r="A89" t="s">
        <v>1144</v>
      </c>
      <c r="B89" t="s">
        <v>1145</v>
      </c>
      <c r="C89" t="s">
        <v>2660</v>
      </c>
      <c r="D89">
        <v>2.58</v>
      </c>
      <c r="E89">
        <v>1.26</v>
      </c>
      <c r="F89" t="s">
        <v>1351</v>
      </c>
      <c r="G89" s="16">
        <v>0</v>
      </c>
      <c r="H89" s="16">
        <v>2</v>
      </c>
      <c r="I89" s="16">
        <v>2</v>
      </c>
      <c r="J89" s="16">
        <v>0</v>
      </c>
      <c r="K89" s="16">
        <v>0</v>
      </c>
      <c r="L89" s="16">
        <v>0</v>
      </c>
      <c r="M89" s="16">
        <v>1</v>
      </c>
      <c r="N89" s="16">
        <v>2</v>
      </c>
      <c r="O89" s="16">
        <v>1</v>
      </c>
      <c r="P89" t="s">
        <v>1352</v>
      </c>
      <c r="Q89" t="s">
        <v>1059</v>
      </c>
    </row>
    <row r="90" spans="1:18" x14ac:dyDescent="0.15">
      <c r="A90" t="s">
        <v>2943</v>
      </c>
      <c r="B90" t="s">
        <v>2944</v>
      </c>
      <c r="C90" t="s">
        <v>2654</v>
      </c>
      <c r="D90">
        <v>1.91</v>
      </c>
      <c r="E90">
        <v>1.19</v>
      </c>
      <c r="F90" t="s">
        <v>2945</v>
      </c>
      <c r="G90" s="16">
        <v>0</v>
      </c>
      <c r="H90" s="16">
        <v>1</v>
      </c>
      <c r="I90" s="16">
        <v>1</v>
      </c>
      <c r="J90" s="16">
        <v>0</v>
      </c>
      <c r="K90" s="16">
        <v>0</v>
      </c>
      <c r="L90" s="16">
        <v>1</v>
      </c>
      <c r="M90" s="16">
        <v>1</v>
      </c>
      <c r="N90" s="16">
        <v>1</v>
      </c>
      <c r="O90" s="16">
        <v>0</v>
      </c>
      <c r="P90" t="s">
        <v>2674</v>
      </c>
      <c r="Q90" t="s">
        <v>2946</v>
      </c>
      <c r="R90" s="9"/>
    </row>
    <row r="91" spans="1:18" x14ac:dyDescent="0.15">
      <c r="A91" t="s">
        <v>2949</v>
      </c>
      <c r="B91" t="s">
        <v>2944</v>
      </c>
      <c r="C91" t="s">
        <v>2654</v>
      </c>
      <c r="D91">
        <v>3.95</v>
      </c>
      <c r="E91">
        <v>1.82</v>
      </c>
      <c r="F91" t="s">
        <v>2950</v>
      </c>
      <c r="G91" s="16">
        <v>0</v>
      </c>
      <c r="H91" s="16">
        <v>2</v>
      </c>
      <c r="I91" s="16">
        <v>2</v>
      </c>
      <c r="J91" s="16">
        <v>0</v>
      </c>
      <c r="K91" s="16">
        <v>0</v>
      </c>
      <c r="L91" s="16">
        <v>0</v>
      </c>
      <c r="M91" s="16">
        <v>1</v>
      </c>
      <c r="N91" s="16">
        <v>2</v>
      </c>
      <c r="O91" s="16">
        <v>2</v>
      </c>
      <c r="P91" t="s">
        <v>2674</v>
      </c>
      <c r="Q91" t="s">
        <v>2560</v>
      </c>
      <c r="R91" s="9"/>
    </row>
    <row r="92" spans="1:18" x14ac:dyDescent="0.15">
      <c r="A92" t="s">
        <v>3000</v>
      </c>
      <c r="B92" t="s">
        <v>2944</v>
      </c>
      <c r="C92" t="s">
        <v>2654</v>
      </c>
      <c r="D92">
        <v>2.0299999999999998</v>
      </c>
      <c r="E92">
        <v>1.18</v>
      </c>
      <c r="F92" t="s">
        <v>3001</v>
      </c>
      <c r="G92" s="16">
        <v>0</v>
      </c>
      <c r="H92" s="16">
        <v>2</v>
      </c>
      <c r="I92" s="16">
        <v>2</v>
      </c>
      <c r="J92" s="16">
        <v>0</v>
      </c>
      <c r="K92" s="16">
        <v>0</v>
      </c>
      <c r="L92" s="16">
        <v>1</v>
      </c>
      <c r="M92" s="16">
        <v>1</v>
      </c>
      <c r="N92" s="16">
        <v>2</v>
      </c>
      <c r="O92" s="16">
        <v>0</v>
      </c>
      <c r="P92" t="s">
        <v>2674</v>
      </c>
      <c r="Q92" t="s">
        <v>2946</v>
      </c>
      <c r="R92" s="9"/>
    </row>
    <row r="93" spans="1:18" x14ac:dyDescent="0.15">
      <c r="A93" t="s">
        <v>1207</v>
      </c>
      <c r="B93" t="s">
        <v>1208</v>
      </c>
      <c r="C93" t="s">
        <v>2655</v>
      </c>
      <c r="D93">
        <v>3.62</v>
      </c>
      <c r="E93">
        <v>1.72</v>
      </c>
      <c r="F93" t="s">
        <v>1209</v>
      </c>
      <c r="G93" s="16">
        <v>3</v>
      </c>
      <c r="H93" s="16">
        <v>2</v>
      </c>
      <c r="I93" s="16">
        <v>2</v>
      </c>
      <c r="J93" s="16">
        <v>0</v>
      </c>
      <c r="K93" s="16">
        <v>0</v>
      </c>
      <c r="L93" s="16">
        <v>0</v>
      </c>
      <c r="M93" s="16">
        <v>1</v>
      </c>
      <c r="N93" s="16">
        <v>3</v>
      </c>
      <c r="O93" s="16">
        <v>2</v>
      </c>
      <c r="P93" t="s">
        <v>1441</v>
      </c>
      <c r="Q93" t="s">
        <v>1059</v>
      </c>
    </row>
    <row r="94" spans="1:18" x14ac:dyDescent="0.15">
      <c r="A94" t="s">
        <v>2940</v>
      </c>
      <c r="B94" t="s">
        <v>2941</v>
      </c>
      <c r="C94" t="s">
        <v>2654</v>
      </c>
      <c r="D94">
        <v>3.87</v>
      </c>
      <c r="E94">
        <v>1.38</v>
      </c>
      <c r="F94" t="s">
        <v>2942</v>
      </c>
      <c r="G94" s="16">
        <v>0</v>
      </c>
      <c r="H94" s="16">
        <v>2</v>
      </c>
      <c r="I94" s="16">
        <v>2</v>
      </c>
      <c r="J94" s="16">
        <v>0</v>
      </c>
      <c r="K94" s="16">
        <v>0</v>
      </c>
      <c r="L94" s="16">
        <v>0</v>
      </c>
      <c r="M94" s="16">
        <v>1</v>
      </c>
      <c r="N94" s="16">
        <v>2</v>
      </c>
      <c r="O94" s="16">
        <v>1</v>
      </c>
      <c r="P94" t="s">
        <v>2674</v>
      </c>
      <c r="Q94" t="s">
        <v>2560</v>
      </c>
    </row>
    <row r="95" spans="1:18" x14ac:dyDescent="0.15">
      <c r="A95" t="s">
        <v>3005</v>
      </c>
      <c r="B95" t="s">
        <v>2941</v>
      </c>
      <c r="C95" t="s">
        <v>2654</v>
      </c>
      <c r="D95">
        <v>4.54</v>
      </c>
      <c r="E95">
        <v>1.76</v>
      </c>
      <c r="F95" t="s">
        <v>3006</v>
      </c>
      <c r="G95" s="16">
        <v>0</v>
      </c>
      <c r="H95" s="16">
        <v>1</v>
      </c>
      <c r="I95" s="16">
        <v>2</v>
      </c>
      <c r="J95" s="16">
        <v>0</v>
      </c>
      <c r="K95" s="16">
        <v>0</v>
      </c>
      <c r="L95" s="16">
        <v>0</v>
      </c>
      <c r="M95" s="16">
        <v>1</v>
      </c>
      <c r="N95" s="16">
        <v>2</v>
      </c>
      <c r="O95" s="16">
        <v>0</v>
      </c>
      <c r="P95" t="s">
        <v>2934</v>
      </c>
      <c r="Q95" t="s">
        <v>2560</v>
      </c>
      <c r="R95" t="s">
        <v>2869</v>
      </c>
    </row>
    <row r="96" spans="1:18" x14ac:dyDescent="0.15">
      <c r="A96" t="s">
        <v>2829</v>
      </c>
      <c r="B96" t="s">
        <v>2830</v>
      </c>
      <c r="C96" t="s">
        <v>2654</v>
      </c>
      <c r="D96">
        <v>5.56</v>
      </c>
      <c r="E96">
        <v>2.66</v>
      </c>
      <c r="F96" t="s">
        <v>2831</v>
      </c>
      <c r="G96" s="16">
        <v>0</v>
      </c>
      <c r="H96" s="16">
        <v>2</v>
      </c>
      <c r="I96" s="16">
        <v>2</v>
      </c>
      <c r="J96" s="16">
        <v>0</v>
      </c>
      <c r="K96" s="16">
        <v>0</v>
      </c>
      <c r="L96" s="16">
        <v>0</v>
      </c>
      <c r="M96" s="16">
        <v>1</v>
      </c>
      <c r="N96" s="16">
        <v>2</v>
      </c>
      <c r="O96" s="16">
        <v>2</v>
      </c>
      <c r="P96" t="s">
        <v>2674</v>
      </c>
      <c r="Q96" t="s">
        <v>2560</v>
      </c>
    </row>
    <row r="97" spans="1:18" x14ac:dyDescent="0.15">
      <c r="A97" t="s">
        <v>2842</v>
      </c>
      <c r="B97" t="s">
        <v>2830</v>
      </c>
      <c r="C97" t="s">
        <v>2654</v>
      </c>
      <c r="D97" s="8">
        <v>4.0199999999999996</v>
      </c>
      <c r="E97">
        <v>1.9</v>
      </c>
      <c r="F97" t="s">
        <v>2843</v>
      </c>
      <c r="G97" s="16">
        <v>0</v>
      </c>
      <c r="H97" s="16">
        <v>1</v>
      </c>
      <c r="I97" s="16">
        <v>1</v>
      </c>
      <c r="J97" s="16">
        <v>0</v>
      </c>
      <c r="K97" s="16">
        <v>0</v>
      </c>
      <c r="L97" s="16">
        <v>0</v>
      </c>
      <c r="M97" s="16">
        <v>0</v>
      </c>
      <c r="N97" s="16">
        <v>2</v>
      </c>
      <c r="O97" s="16">
        <v>2</v>
      </c>
      <c r="P97" t="s">
        <v>2678</v>
      </c>
      <c r="Q97" t="s">
        <v>2679</v>
      </c>
      <c r="R97" s="9"/>
    </row>
    <row r="98" spans="1:18" x14ac:dyDescent="0.15">
      <c r="A98" t="s">
        <v>2851</v>
      </c>
      <c r="B98" t="s">
        <v>2830</v>
      </c>
      <c r="C98" t="s">
        <v>2654</v>
      </c>
      <c r="D98">
        <v>2.2200000000000002</v>
      </c>
      <c r="E98">
        <v>1.01</v>
      </c>
      <c r="F98" t="s">
        <v>2850</v>
      </c>
      <c r="G98" s="16">
        <v>0</v>
      </c>
      <c r="H98" s="16">
        <v>4</v>
      </c>
      <c r="I98" s="16">
        <v>1</v>
      </c>
      <c r="J98" s="16">
        <v>0</v>
      </c>
      <c r="K98" s="16">
        <v>0</v>
      </c>
      <c r="L98" s="16">
        <v>1</v>
      </c>
      <c r="M98" s="16">
        <v>1</v>
      </c>
      <c r="N98" s="16">
        <v>2</v>
      </c>
      <c r="O98" s="16">
        <v>1</v>
      </c>
      <c r="P98" t="s">
        <v>2674</v>
      </c>
      <c r="Q98" t="s">
        <v>2560</v>
      </c>
      <c r="R98" s="9"/>
    </row>
    <row r="99" spans="1:18" x14ac:dyDescent="0.15">
      <c r="A99" t="s">
        <v>2868</v>
      </c>
      <c r="B99" t="s">
        <v>2830</v>
      </c>
      <c r="C99" t="s">
        <v>2654</v>
      </c>
      <c r="D99">
        <v>2.23</v>
      </c>
      <c r="E99">
        <v>0.96</v>
      </c>
      <c r="F99" t="s">
        <v>2680</v>
      </c>
      <c r="G99" s="16">
        <v>0</v>
      </c>
      <c r="H99" s="16">
        <v>1</v>
      </c>
      <c r="I99" s="16">
        <v>1</v>
      </c>
      <c r="J99" s="16">
        <v>0</v>
      </c>
      <c r="K99" s="16">
        <v>0</v>
      </c>
      <c r="L99" s="16">
        <v>0</v>
      </c>
      <c r="M99" s="16">
        <v>0</v>
      </c>
      <c r="N99" s="16">
        <v>2</v>
      </c>
      <c r="O99" s="16">
        <v>2</v>
      </c>
      <c r="P99" t="s">
        <v>2678</v>
      </c>
      <c r="Q99" t="s">
        <v>2679</v>
      </c>
      <c r="R99" s="9"/>
    </row>
    <row r="100" spans="1:18" x14ac:dyDescent="0.15">
      <c r="A100" t="s">
        <v>2685</v>
      </c>
      <c r="B100" t="s">
        <v>2830</v>
      </c>
      <c r="C100" t="s">
        <v>2654</v>
      </c>
      <c r="D100">
        <v>3.43</v>
      </c>
      <c r="E100">
        <v>1.35</v>
      </c>
      <c r="F100" t="s">
        <v>2686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2</v>
      </c>
      <c r="O100" s="16">
        <v>2</v>
      </c>
      <c r="P100" t="s">
        <v>2678</v>
      </c>
      <c r="Q100" t="s">
        <v>2556</v>
      </c>
    </row>
    <row r="101" spans="1:18" x14ac:dyDescent="0.15">
      <c r="A101" t="s">
        <v>2920</v>
      </c>
      <c r="B101" t="s">
        <v>2830</v>
      </c>
      <c r="C101" t="s">
        <v>2654</v>
      </c>
      <c r="D101">
        <v>4.71</v>
      </c>
      <c r="E101">
        <v>1.63</v>
      </c>
      <c r="F101" t="s">
        <v>2921</v>
      </c>
      <c r="G101" s="16">
        <v>0</v>
      </c>
      <c r="H101" s="16">
        <v>3</v>
      </c>
      <c r="I101" s="16">
        <v>2</v>
      </c>
      <c r="J101" s="16">
        <v>0</v>
      </c>
      <c r="K101" s="16">
        <v>0</v>
      </c>
      <c r="L101" s="16">
        <v>0</v>
      </c>
      <c r="M101" s="16">
        <v>1</v>
      </c>
      <c r="N101" s="16">
        <v>2</v>
      </c>
      <c r="O101" s="16">
        <v>2</v>
      </c>
      <c r="P101" t="s">
        <v>2674</v>
      </c>
      <c r="Q101" t="s">
        <v>2560</v>
      </c>
      <c r="R101" s="8"/>
    </row>
    <row r="102" spans="1:18" x14ac:dyDescent="0.15">
      <c r="A102" t="s">
        <v>2932</v>
      </c>
      <c r="B102" t="s">
        <v>2830</v>
      </c>
      <c r="C102" t="s">
        <v>2654</v>
      </c>
      <c r="D102">
        <v>3.81</v>
      </c>
      <c r="E102">
        <v>1.7</v>
      </c>
      <c r="F102" t="s">
        <v>2933</v>
      </c>
      <c r="G102" s="16">
        <v>0</v>
      </c>
      <c r="H102" s="16">
        <v>4</v>
      </c>
      <c r="I102" s="16">
        <v>2</v>
      </c>
      <c r="J102" s="16">
        <v>0</v>
      </c>
      <c r="K102" s="16">
        <v>0</v>
      </c>
      <c r="L102" s="16">
        <v>0</v>
      </c>
      <c r="M102" s="16">
        <v>1</v>
      </c>
      <c r="N102" s="16">
        <v>3</v>
      </c>
      <c r="O102" s="16">
        <v>2</v>
      </c>
      <c r="P102" t="s">
        <v>2934</v>
      </c>
      <c r="Q102" t="s">
        <v>2560</v>
      </c>
      <c r="R102" t="s">
        <v>2935</v>
      </c>
    </row>
    <row r="103" spans="1:18" x14ac:dyDescent="0.15">
      <c r="A103" t="s">
        <v>2791</v>
      </c>
      <c r="B103" t="s">
        <v>2830</v>
      </c>
      <c r="C103" t="s">
        <v>2654</v>
      </c>
      <c r="D103">
        <v>3.07</v>
      </c>
      <c r="E103">
        <v>1.1200000000000001</v>
      </c>
      <c r="F103" t="s">
        <v>2792</v>
      </c>
      <c r="G103" s="16">
        <v>0</v>
      </c>
      <c r="H103" s="16">
        <v>3</v>
      </c>
      <c r="I103" s="16">
        <v>2</v>
      </c>
      <c r="J103" s="16">
        <v>0</v>
      </c>
      <c r="K103" s="16">
        <v>0</v>
      </c>
      <c r="L103" s="16">
        <v>1</v>
      </c>
      <c r="M103" s="16">
        <v>1</v>
      </c>
      <c r="N103" s="16">
        <v>2</v>
      </c>
      <c r="O103" s="16">
        <v>2</v>
      </c>
      <c r="P103" t="s">
        <v>2674</v>
      </c>
      <c r="Q103" t="s">
        <v>2560</v>
      </c>
    </row>
    <row r="104" spans="1:18" x14ac:dyDescent="0.15">
      <c r="A104" t="s">
        <v>2984</v>
      </c>
      <c r="B104" t="s">
        <v>2830</v>
      </c>
      <c r="C104" t="s">
        <v>2654</v>
      </c>
      <c r="D104">
        <v>3.52</v>
      </c>
      <c r="E104">
        <v>2.33</v>
      </c>
      <c r="F104" t="s">
        <v>2985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2</v>
      </c>
      <c r="O104" s="16">
        <v>1</v>
      </c>
      <c r="P104" t="s">
        <v>2934</v>
      </c>
      <c r="Q104" t="s">
        <v>2679</v>
      </c>
      <c r="R104" t="s">
        <v>2986</v>
      </c>
    </row>
    <row r="105" spans="1:18" x14ac:dyDescent="0.15">
      <c r="A105" t="s">
        <v>1061</v>
      </c>
      <c r="B105" t="s">
        <v>1152</v>
      </c>
      <c r="C105" t="s">
        <v>2655</v>
      </c>
      <c r="D105">
        <v>2.63</v>
      </c>
      <c r="E105">
        <v>3</v>
      </c>
      <c r="F105" t="s">
        <v>981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2</v>
      </c>
      <c r="O105" s="16">
        <v>2</v>
      </c>
      <c r="P105" t="s">
        <v>978</v>
      </c>
      <c r="Q105" t="s">
        <v>1153</v>
      </c>
    </row>
    <row r="106" spans="1:18" x14ac:dyDescent="0.15">
      <c r="A106" t="s">
        <v>2731</v>
      </c>
      <c r="B106" t="s">
        <v>2732</v>
      </c>
      <c r="C106" t="s">
        <v>2654</v>
      </c>
      <c r="D106">
        <v>2.77</v>
      </c>
      <c r="E106">
        <v>1.17</v>
      </c>
      <c r="F106" t="s">
        <v>2733</v>
      </c>
      <c r="G106" s="16">
        <v>0</v>
      </c>
      <c r="H106" s="16">
        <v>1</v>
      </c>
      <c r="I106" s="16">
        <v>2</v>
      </c>
      <c r="J106" s="16">
        <v>0</v>
      </c>
      <c r="K106" s="16">
        <v>0</v>
      </c>
      <c r="L106" s="16">
        <v>0</v>
      </c>
      <c r="M106" s="16">
        <v>0</v>
      </c>
      <c r="N106" s="16">
        <v>2</v>
      </c>
      <c r="O106" s="16">
        <v>2</v>
      </c>
      <c r="P106" t="s">
        <v>2678</v>
      </c>
      <c r="Q106" t="s">
        <v>2679</v>
      </c>
      <c r="R106" t="s">
        <v>2734</v>
      </c>
    </row>
    <row r="107" spans="1:18" x14ac:dyDescent="0.15">
      <c r="A107" t="s">
        <v>2839</v>
      </c>
      <c r="B107" t="s">
        <v>2732</v>
      </c>
      <c r="C107" t="s">
        <v>2654</v>
      </c>
      <c r="D107">
        <v>3.7</v>
      </c>
      <c r="E107">
        <v>1.4</v>
      </c>
      <c r="F107" t="s">
        <v>2840</v>
      </c>
      <c r="G107" s="16">
        <v>0</v>
      </c>
      <c r="H107" s="16">
        <v>2</v>
      </c>
      <c r="I107" s="16">
        <v>2</v>
      </c>
      <c r="J107" s="16">
        <v>0</v>
      </c>
      <c r="K107" s="16">
        <v>0</v>
      </c>
      <c r="L107" s="16">
        <v>0</v>
      </c>
      <c r="M107" s="16">
        <v>1</v>
      </c>
      <c r="N107" s="16">
        <v>2</v>
      </c>
      <c r="O107" s="16">
        <v>2</v>
      </c>
      <c r="P107" t="s">
        <v>2674</v>
      </c>
      <c r="Q107" t="s">
        <v>2560</v>
      </c>
      <c r="R107" t="s">
        <v>2841</v>
      </c>
    </row>
    <row r="108" spans="1:18" x14ac:dyDescent="0.15">
      <c r="A108" t="s">
        <v>2864</v>
      </c>
      <c r="B108" t="s">
        <v>2732</v>
      </c>
      <c r="C108" t="s">
        <v>2654</v>
      </c>
      <c r="D108">
        <v>4.55</v>
      </c>
      <c r="E108">
        <v>2.58</v>
      </c>
      <c r="F108" t="s">
        <v>2865</v>
      </c>
      <c r="G108" s="16">
        <v>0</v>
      </c>
      <c r="H108" s="16">
        <v>2</v>
      </c>
      <c r="I108" s="16">
        <v>1</v>
      </c>
      <c r="J108" s="16">
        <v>0</v>
      </c>
      <c r="K108" s="16">
        <v>0</v>
      </c>
      <c r="L108" s="16">
        <v>0</v>
      </c>
      <c r="M108" s="16">
        <v>0</v>
      </c>
      <c r="N108" s="16">
        <v>2</v>
      </c>
      <c r="O108" s="16">
        <v>2</v>
      </c>
      <c r="P108" t="s">
        <v>2678</v>
      </c>
      <c r="Q108" t="s">
        <v>2679</v>
      </c>
      <c r="R108" s="9"/>
    </row>
    <row r="109" spans="1:18" x14ac:dyDescent="0.15">
      <c r="A109" t="s">
        <v>2706</v>
      </c>
      <c r="B109" t="s">
        <v>2732</v>
      </c>
      <c r="C109" t="s">
        <v>2654</v>
      </c>
      <c r="D109">
        <v>2.31</v>
      </c>
      <c r="E109">
        <v>1.04</v>
      </c>
      <c r="F109" t="s">
        <v>2707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2</v>
      </c>
      <c r="O109" s="16">
        <v>2</v>
      </c>
      <c r="P109" t="s">
        <v>2678</v>
      </c>
      <c r="Q109" t="s">
        <v>2679</v>
      </c>
      <c r="R109" s="8" t="s">
        <v>2893</v>
      </c>
    </row>
    <row r="110" spans="1:18" x14ac:dyDescent="0.15">
      <c r="A110" t="s">
        <v>2926</v>
      </c>
      <c r="B110" t="s">
        <v>2732</v>
      </c>
      <c r="C110" t="s">
        <v>2654</v>
      </c>
      <c r="D110">
        <v>2.4300000000000002</v>
      </c>
      <c r="E110">
        <v>1.33</v>
      </c>
      <c r="F110" t="s">
        <v>2927</v>
      </c>
      <c r="G110" s="16">
        <v>0</v>
      </c>
      <c r="H110" s="16">
        <v>4</v>
      </c>
      <c r="I110" s="16">
        <v>2</v>
      </c>
      <c r="J110" s="16">
        <v>0</v>
      </c>
      <c r="K110" s="16">
        <v>0</v>
      </c>
      <c r="L110" s="16">
        <v>0</v>
      </c>
      <c r="M110" s="16">
        <v>0</v>
      </c>
      <c r="N110" s="16">
        <v>2</v>
      </c>
      <c r="O110" s="16">
        <v>2</v>
      </c>
      <c r="P110" t="s">
        <v>2678</v>
      </c>
      <c r="Q110" t="s">
        <v>2679</v>
      </c>
      <c r="R110" t="s">
        <v>2928</v>
      </c>
    </row>
    <row r="111" spans="1:18" x14ac:dyDescent="0.15">
      <c r="A111" t="s">
        <v>1583</v>
      </c>
      <c r="B111" t="s">
        <v>1584</v>
      </c>
      <c r="C111" t="s">
        <v>2657</v>
      </c>
      <c r="D111">
        <v>3.07</v>
      </c>
      <c r="E111">
        <v>1.66</v>
      </c>
      <c r="F111" t="s">
        <v>1391</v>
      </c>
      <c r="G111" s="16">
        <v>0</v>
      </c>
      <c r="H111" s="16">
        <v>2</v>
      </c>
      <c r="I111" s="16">
        <v>1</v>
      </c>
      <c r="J111" s="16">
        <v>0</v>
      </c>
      <c r="K111" s="16">
        <v>0</v>
      </c>
      <c r="L111" s="16">
        <v>0</v>
      </c>
      <c r="M111" s="16">
        <v>0</v>
      </c>
      <c r="N111" s="16">
        <v>1</v>
      </c>
      <c r="O111" s="16">
        <v>2</v>
      </c>
      <c r="P111" t="s">
        <v>1322</v>
      </c>
      <c r="Q111" t="s">
        <v>1323</v>
      </c>
    </row>
    <row r="112" spans="1:18" x14ac:dyDescent="0.15">
      <c r="A112" t="s">
        <v>1321</v>
      </c>
      <c r="B112" t="s">
        <v>1584</v>
      </c>
      <c r="C112" t="s">
        <v>2657</v>
      </c>
      <c r="D112">
        <v>9.59</v>
      </c>
      <c r="E112">
        <v>1.64</v>
      </c>
      <c r="F112" t="s">
        <v>1435</v>
      </c>
      <c r="G112" s="16">
        <v>1</v>
      </c>
      <c r="H112" s="16">
        <v>0</v>
      </c>
      <c r="I112" s="16">
        <v>0</v>
      </c>
      <c r="J112" s="16">
        <v>0</v>
      </c>
      <c r="K112" s="16">
        <v>0</v>
      </c>
      <c r="L112" s="16">
        <v>1</v>
      </c>
      <c r="M112" s="16">
        <v>1</v>
      </c>
      <c r="N112" s="16">
        <v>2</v>
      </c>
      <c r="O112" s="16">
        <v>2</v>
      </c>
      <c r="P112" t="s">
        <v>1322</v>
      </c>
      <c r="Q112" t="s">
        <v>1233</v>
      </c>
      <c r="R112" s="8"/>
    </row>
    <row r="113" spans="1:26" x14ac:dyDescent="0.15">
      <c r="A113" t="s">
        <v>1060</v>
      </c>
      <c r="B113" t="s">
        <v>967</v>
      </c>
      <c r="C113" t="s">
        <v>2657</v>
      </c>
      <c r="D113">
        <v>0.78</v>
      </c>
      <c r="E113">
        <v>0.28000000000000003</v>
      </c>
      <c r="F113" t="s">
        <v>1137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1</v>
      </c>
      <c r="O113" s="16">
        <v>2</v>
      </c>
      <c r="P113" t="s">
        <v>1138</v>
      </c>
      <c r="Q113" t="s">
        <v>1139</v>
      </c>
    </row>
    <row r="114" spans="1:26" x14ac:dyDescent="0.15">
      <c r="A114" t="s">
        <v>1357</v>
      </c>
      <c r="B114" t="s">
        <v>1452</v>
      </c>
      <c r="C114" t="s">
        <v>2657</v>
      </c>
      <c r="D114">
        <v>3.31</v>
      </c>
      <c r="E114">
        <v>0.77</v>
      </c>
      <c r="F114" t="s">
        <v>1432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</v>
      </c>
      <c r="N114" s="16">
        <v>2</v>
      </c>
      <c r="O114" s="16">
        <v>2</v>
      </c>
      <c r="P114" t="s">
        <v>1441</v>
      </c>
      <c r="Q114" t="s">
        <v>1453</v>
      </c>
      <c r="R114" s="8"/>
    </row>
    <row r="115" spans="1:26" x14ac:dyDescent="0.15">
      <c r="A115" t="s">
        <v>1475</v>
      </c>
      <c r="B115" t="s">
        <v>1452</v>
      </c>
      <c r="C115" t="s">
        <v>2657</v>
      </c>
      <c r="D115">
        <v>3.55</v>
      </c>
      <c r="E115">
        <v>0.81</v>
      </c>
      <c r="F115" t="s">
        <v>1476</v>
      </c>
      <c r="G115" s="16">
        <v>2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1</v>
      </c>
      <c r="N115" s="16">
        <v>3</v>
      </c>
      <c r="O115" s="16">
        <v>2</v>
      </c>
      <c r="P115" t="s">
        <v>1441</v>
      </c>
      <c r="Q115" t="s">
        <v>1477</v>
      </c>
    </row>
    <row r="116" spans="1:26" x14ac:dyDescent="0.15">
      <c r="A116" t="s">
        <v>1168</v>
      </c>
      <c r="B116" t="s">
        <v>1452</v>
      </c>
      <c r="C116" t="s">
        <v>2657</v>
      </c>
      <c r="D116">
        <v>2.02</v>
      </c>
      <c r="E116">
        <v>1.22</v>
      </c>
      <c r="F116" t="s">
        <v>1169</v>
      </c>
      <c r="G116" s="16">
        <v>0</v>
      </c>
      <c r="H116" s="16">
        <v>2</v>
      </c>
      <c r="I116" s="16">
        <v>2</v>
      </c>
      <c r="J116" s="16">
        <v>0</v>
      </c>
      <c r="K116" s="16">
        <v>0</v>
      </c>
      <c r="L116" s="16">
        <v>0</v>
      </c>
      <c r="M116" s="16">
        <v>1</v>
      </c>
      <c r="N116" s="16">
        <v>1</v>
      </c>
      <c r="O116" s="16">
        <v>0</v>
      </c>
      <c r="P116" t="s">
        <v>1278</v>
      </c>
      <c r="Q116" t="s">
        <v>1170</v>
      </c>
    </row>
    <row r="117" spans="1:26" x14ac:dyDescent="0.15">
      <c r="A117" t="s">
        <v>1077</v>
      </c>
      <c r="B117" t="s">
        <v>1452</v>
      </c>
      <c r="C117" t="s">
        <v>2657</v>
      </c>
      <c r="D117">
        <v>6.24</v>
      </c>
      <c r="E117">
        <v>1.73</v>
      </c>
      <c r="F117" t="s">
        <v>1078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3</v>
      </c>
      <c r="P117" t="s">
        <v>1441</v>
      </c>
      <c r="Q117" t="s">
        <v>1119</v>
      </c>
    </row>
    <row r="118" spans="1:26" x14ac:dyDescent="0.15">
      <c r="A118" t="s">
        <v>1361</v>
      </c>
      <c r="B118" t="s">
        <v>1274</v>
      </c>
      <c r="C118" t="s">
        <v>2657</v>
      </c>
      <c r="D118">
        <v>1.82</v>
      </c>
      <c r="E118">
        <v>0.69</v>
      </c>
      <c r="F118" t="s">
        <v>1275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1</v>
      </c>
      <c r="N118" s="16">
        <v>2</v>
      </c>
      <c r="O118" s="16">
        <v>2</v>
      </c>
      <c r="P118" t="s">
        <v>1276</v>
      </c>
      <c r="Q118" t="s">
        <v>1426</v>
      </c>
      <c r="Z118" t="s">
        <v>348</v>
      </c>
    </row>
    <row r="119" spans="1:26" x14ac:dyDescent="0.15">
      <c r="A119" t="s">
        <v>1199</v>
      </c>
      <c r="B119" t="s">
        <v>1274</v>
      </c>
      <c r="C119" t="s">
        <v>2657</v>
      </c>
      <c r="D119">
        <v>7</v>
      </c>
      <c r="E119">
        <v>1.4</v>
      </c>
      <c r="F119" t="s">
        <v>1200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1</v>
      </c>
      <c r="N119" s="16">
        <v>2</v>
      </c>
      <c r="O119" s="16">
        <v>2</v>
      </c>
      <c r="P119" t="s">
        <v>1425</v>
      </c>
      <c r="Q119" t="s">
        <v>1426</v>
      </c>
    </row>
    <row r="120" spans="1:26" x14ac:dyDescent="0.15">
      <c r="A120" t="s">
        <v>1244</v>
      </c>
      <c r="B120" t="s">
        <v>1245</v>
      </c>
      <c r="C120" t="s">
        <v>2657</v>
      </c>
      <c r="D120">
        <v>1.4</v>
      </c>
      <c r="E120">
        <v>0.85</v>
      </c>
      <c r="F120" t="s">
        <v>1248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1</v>
      </c>
      <c r="N120" s="16">
        <v>3</v>
      </c>
      <c r="O120" s="16">
        <v>2</v>
      </c>
      <c r="P120" t="s">
        <v>1249</v>
      </c>
      <c r="Q120" t="s">
        <v>1250</v>
      </c>
      <c r="R120" t="s">
        <v>1499</v>
      </c>
    </row>
    <row r="121" spans="1:26" x14ac:dyDescent="0.15">
      <c r="A121" t="s">
        <v>1155</v>
      </c>
      <c r="B121" t="s">
        <v>1370</v>
      </c>
      <c r="C121" t="s">
        <v>2657</v>
      </c>
      <c r="D121">
        <v>5.59</v>
      </c>
      <c r="E121">
        <v>1.4</v>
      </c>
      <c r="F121" t="s">
        <v>1371</v>
      </c>
      <c r="G121" s="16">
        <v>3</v>
      </c>
      <c r="H121" s="16">
        <v>5</v>
      </c>
      <c r="I121" s="16">
        <v>2</v>
      </c>
      <c r="J121" s="16">
        <v>0</v>
      </c>
      <c r="K121" s="16">
        <v>0</v>
      </c>
      <c r="L121" s="16">
        <v>0</v>
      </c>
      <c r="M121" s="16">
        <v>1</v>
      </c>
      <c r="N121" s="16">
        <v>1</v>
      </c>
      <c r="O121" s="16">
        <v>2</v>
      </c>
      <c r="P121" t="s">
        <v>1372</v>
      </c>
      <c r="Q121" t="s">
        <v>1373</v>
      </c>
    </row>
    <row r="122" spans="1:26" x14ac:dyDescent="0.15">
      <c r="A122" t="s">
        <v>1342</v>
      </c>
      <c r="B122" t="s">
        <v>1370</v>
      </c>
      <c r="C122" t="s">
        <v>2657</v>
      </c>
      <c r="D122">
        <v>6.13</v>
      </c>
      <c r="E122">
        <v>1.1000000000000001</v>
      </c>
      <c r="F122" t="s">
        <v>1343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2</v>
      </c>
      <c r="P122" t="s">
        <v>1372</v>
      </c>
      <c r="Q122" t="s">
        <v>1457</v>
      </c>
    </row>
    <row r="123" spans="1:26" x14ac:dyDescent="0.15">
      <c r="A123" t="s">
        <v>1364</v>
      </c>
      <c r="B123" t="s">
        <v>1370</v>
      </c>
      <c r="C123" t="s">
        <v>2657</v>
      </c>
      <c r="D123">
        <v>3.87</v>
      </c>
      <c r="E123">
        <v>1.55</v>
      </c>
      <c r="F123" t="s">
        <v>1365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3</v>
      </c>
      <c r="O123" s="16">
        <v>2</v>
      </c>
      <c r="P123" t="s">
        <v>1462</v>
      </c>
      <c r="Q123" t="s">
        <v>968</v>
      </c>
    </row>
    <row r="124" spans="1:26" x14ac:dyDescent="0.15">
      <c r="A124" t="s">
        <v>1466</v>
      </c>
      <c r="B124" t="s">
        <v>1370</v>
      </c>
      <c r="C124" t="s">
        <v>2657</v>
      </c>
      <c r="D124">
        <v>6.24</v>
      </c>
      <c r="E124">
        <v>2.6</v>
      </c>
      <c r="F124" t="s">
        <v>1467</v>
      </c>
      <c r="G124" s="16">
        <v>0</v>
      </c>
      <c r="H124" s="16">
        <v>2</v>
      </c>
      <c r="I124" s="16">
        <v>2</v>
      </c>
      <c r="J124" s="16">
        <v>0</v>
      </c>
      <c r="K124" s="16">
        <v>0</v>
      </c>
      <c r="L124" s="16">
        <v>0</v>
      </c>
      <c r="M124" s="16">
        <v>0</v>
      </c>
      <c r="N124" s="16">
        <v>1</v>
      </c>
      <c r="O124" s="16">
        <v>1</v>
      </c>
      <c r="P124" t="s">
        <v>1463</v>
      </c>
      <c r="Q124" t="s">
        <v>1464</v>
      </c>
    </row>
    <row r="125" spans="1:26" x14ac:dyDescent="0.15">
      <c r="A125" t="s">
        <v>2631</v>
      </c>
      <c r="B125" t="s">
        <v>2656</v>
      </c>
      <c r="C125" t="s">
        <v>2656</v>
      </c>
      <c r="D125">
        <v>2.2799999999999998</v>
      </c>
      <c r="E125">
        <v>0.82</v>
      </c>
      <c r="F125" t="s">
        <v>2632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</v>
      </c>
      <c r="N125" s="16">
        <v>2</v>
      </c>
      <c r="O125" s="16">
        <v>2</v>
      </c>
      <c r="P125" t="s">
        <v>2674</v>
      </c>
      <c r="Q125" t="s">
        <v>2560</v>
      </c>
      <c r="R125" s="8" t="s">
        <v>2633</v>
      </c>
    </row>
    <row r="126" spans="1:26" x14ac:dyDescent="0.15">
      <c r="A126" t="s">
        <v>2809</v>
      </c>
      <c r="B126" t="s">
        <v>2656</v>
      </c>
      <c r="C126" t="s">
        <v>2656</v>
      </c>
      <c r="D126">
        <v>1.08</v>
      </c>
      <c r="E126">
        <v>0.31</v>
      </c>
      <c r="F126" t="s">
        <v>2810</v>
      </c>
      <c r="G126" s="16">
        <v>0</v>
      </c>
      <c r="H126" s="16">
        <v>1</v>
      </c>
      <c r="I126" s="16">
        <v>1</v>
      </c>
      <c r="J126" s="16">
        <v>0</v>
      </c>
      <c r="K126" s="16">
        <v>0</v>
      </c>
      <c r="L126" s="16">
        <v>0</v>
      </c>
      <c r="M126" s="16">
        <v>1</v>
      </c>
      <c r="N126" s="16">
        <v>2</v>
      </c>
      <c r="O126" s="16">
        <v>2</v>
      </c>
      <c r="P126" t="s">
        <v>2678</v>
      </c>
      <c r="Q126" t="s">
        <v>2560</v>
      </c>
      <c r="R126" t="s">
        <v>2811</v>
      </c>
    </row>
    <row r="127" spans="1:26" x14ac:dyDescent="0.15">
      <c r="A127" t="s">
        <v>2832</v>
      </c>
      <c r="B127" t="s">
        <v>2656</v>
      </c>
      <c r="C127" t="s">
        <v>2656</v>
      </c>
      <c r="D127">
        <v>1.8</v>
      </c>
      <c r="E127">
        <v>0.35</v>
      </c>
      <c r="F127" t="s">
        <v>2833</v>
      </c>
      <c r="G127" s="16">
        <v>0</v>
      </c>
      <c r="H127" s="16">
        <v>2</v>
      </c>
      <c r="I127" s="16">
        <v>1</v>
      </c>
      <c r="J127" s="16">
        <v>1</v>
      </c>
      <c r="K127" s="16">
        <v>2</v>
      </c>
      <c r="L127" s="16">
        <v>0</v>
      </c>
      <c r="M127" s="16">
        <v>1</v>
      </c>
      <c r="N127" s="16">
        <v>1</v>
      </c>
      <c r="O127" s="16">
        <v>2</v>
      </c>
      <c r="P127" t="s">
        <v>2834</v>
      </c>
      <c r="Q127" t="s">
        <v>2560</v>
      </c>
      <c r="R127" s="9"/>
    </row>
    <row r="128" spans="1:26" x14ac:dyDescent="0.15">
      <c r="A128" t="s">
        <v>2689</v>
      </c>
      <c r="B128" t="s">
        <v>2656</v>
      </c>
      <c r="C128" t="s">
        <v>2656</v>
      </c>
      <c r="D128">
        <v>1.43</v>
      </c>
      <c r="E128">
        <v>0.62</v>
      </c>
      <c r="F128" t="s">
        <v>2690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1</v>
      </c>
      <c r="O128" s="16">
        <v>2</v>
      </c>
      <c r="P128" t="s">
        <v>2678</v>
      </c>
      <c r="Q128" t="s">
        <v>2560</v>
      </c>
      <c r="R128" s="9"/>
    </row>
    <row r="129" spans="1:18" x14ac:dyDescent="0.15">
      <c r="A129" t="s">
        <v>1478</v>
      </c>
      <c r="B129" t="s">
        <v>1479</v>
      </c>
      <c r="C129" t="s">
        <v>2657</v>
      </c>
      <c r="D129">
        <v>2.13</v>
      </c>
      <c r="E129">
        <v>0.87</v>
      </c>
      <c r="F129" t="s">
        <v>1480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2</v>
      </c>
      <c r="P129" t="s">
        <v>1441</v>
      </c>
      <c r="Q129" t="s">
        <v>1119</v>
      </c>
    </row>
    <row r="130" spans="1:18" x14ac:dyDescent="0.15">
      <c r="A130" t="s">
        <v>1362</v>
      </c>
      <c r="B130" t="s">
        <v>1363</v>
      </c>
      <c r="C130" t="s">
        <v>2657</v>
      </c>
      <c r="D130">
        <v>3.76</v>
      </c>
      <c r="E130">
        <v>0.56999999999999995</v>
      </c>
      <c r="F130" t="s">
        <v>1461</v>
      </c>
      <c r="G130" s="16">
        <v>3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1</v>
      </c>
      <c r="N130" s="16">
        <v>1</v>
      </c>
      <c r="O130" s="16">
        <v>2</v>
      </c>
      <c r="P130" t="s">
        <v>1372</v>
      </c>
      <c r="Q130" t="s">
        <v>1373</v>
      </c>
    </row>
    <row r="131" spans="1:18" x14ac:dyDescent="0.15">
      <c r="A131" t="s">
        <v>2716</v>
      </c>
      <c r="B131" t="s">
        <v>2717</v>
      </c>
      <c r="C131" t="s">
        <v>2656</v>
      </c>
      <c r="D131">
        <v>2.78</v>
      </c>
      <c r="E131">
        <v>0.83</v>
      </c>
      <c r="F131" t="s">
        <v>2718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2</v>
      </c>
      <c r="P131" t="s">
        <v>2678</v>
      </c>
      <c r="Q131" t="s">
        <v>2719</v>
      </c>
    </row>
    <row r="132" spans="1:18" x14ac:dyDescent="0.15">
      <c r="A132" t="s">
        <v>2800</v>
      </c>
      <c r="B132" t="s">
        <v>2717</v>
      </c>
      <c r="C132" t="s">
        <v>2656</v>
      </c>
      <c r="D132">
        <v>1.36</v>
      </c>
      <c r="E132">
        <v>0.54</v>
      </c>
      <c r="F132" t="s">
        <v>2801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1</v>
      </c>
      <c r="N132" s="16">
        <v>2</v>
      </c>
      <c r="O132" s="16">
        <v>2</v>
      </c>
      <c r="P132" t="s">
        <v>2678</v>
      </c>
      <c r="Q132" t="s">
        <v>2560</v>
      </c>
      <c r="R132" t="s">
        <v>2802</v>
      </c>
    </row>
    <row r="133" spans="1:18" x14ac:dyDescent="0.15">
      <c r="A133" t="s">
        <v>2815</v>
      </c>
      <c r="B133" t="s">
        <v>2717</v>
      </c>
      <c r="C133" t="s">
        <v>2656</v>
      </c>
      <c r="D133">
        <v>1.4</v>
      </c>
      <c r="E133">
        <v>0.57999999999999996</v>
      </c>
      <c r="F133" t="s">
        <v>2816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1</v>
      </c>
      <c r="N133" s="16">
        <v>1</v>
      </c>
      <c r="O133" s="16">
        <v>1</v>
      </c>
      <c r="P133" t="s">
        <v>2674</v>
      </c>
      <c r="Q133" t="s">
        <v>2560</v>
      </c>
      <c r="R133" t="s">
        <v>2817</v>
      </c>
    </row>
    <row r="134" spans="1:18" x14ac:dyDescent="0.15">
      <c r="A134" t="s">
        <v>2894</v>
      </c>
      <c r="B134" t="s">
        <v>2717</v>
      </c>
      <c r="C134" t="s">
        <v>2656</v>
      </c>
      <c r="D134">
        <v>0.86</v>
      </c>
      <c r="E134">
        <v>0.56000000000000005</v>
      </c>
      <c r="F134" t="s">
        <v>2895</v>
      </c>
      <c r="G134" s="16">
        <v>2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1</v>
      </c>
      <c r="N134" s="16">
        <v>1</v>
      </c>
      <c r="O134" s="16">
        <v>2</v>
      </c>
      <c r="P134" t="s">
        <v>2674</v>
      </c>
      <c r="Q134" t="s">
        <v>2564</v>
      </c>
      <c r="R134" t="s">
        <v>2896</v>
      </c>
    </row>
    <row r="135" spans="1:18" x14ac:dyDescent="0.15">
      <c r="A135" t="s">
        <v>2770</v>
      </c>
      <c r="B135" t="s">
        <v>2771</v>
      </c>
      <c r="C135" t="s">
        <v>2654</v>
      </c>
      <c r="D135">
        <v>4.1900000000000004</v>
      </c>
      <c r="E135">
        <v>1.8</v>
      </c>
      <c r="F135" t="s">
        <v>2772</v>
      </c>
      <c r="G135" s="16">
        <v>0</v>
      </c>
      <c r="H135" s="16">
        <v>4</v>
      </c>
      <c r="I135" s="16">
        <v>2</v>
      </c>
      <c r="J135" s="16">
        <v>2</v>
      </c>
      <c r="K135" s="16">
        <v>2</v>
      </c>
      <c r="L135" s="16">
        <v>0</v>
      </c>
      <c r="M135" s="16">
        <v>1</v>
      </c>
      <c r="N135" s="16">
        <v>3</v>
      </c>
      <c r="O135" s="16">
        <v>2</v>
      </c>
      <c r="P135" t="s">
        <v>2678</v>
      </c>
      <c r="Q135" t="s">
        <v>2560</v>
      </c>
    </row>
    <row r="136" spans="1:18" x14ac:dyDescent="0.15">
      <c r="A136" t="s">
        <v>2763</v>
      </c>
      <c r="B136" t="s">
        <v>2764</v>
      </c>
      <c r="C136" t="s">
        <v>2658</v>
      </c>
      <c r="D136">
        <v>2.96</v>
      </c>
      <c r="E136">
        <v>1.62</v>
      </c>
      <c r="F136" t="s">
        <v>2765</v>
      </c>
      <c r="G136" s="16">
        <v>0</v>
      </c>
      <c r="H136" s="16">
        <v>3</v>
      </c>
      <c r="I136" s="16">
        <v>3</v>
      </c>
      <c r="J136" s="16">
        <v>0</v>
      </c>
      <c r="K136" s="16">
        <v>0</v>
      </c>
      <c r="L136" s="16">
        <v>0</v>
      </c>
      <c r="M136" s="16">
        <v>1</v>
      </c>
      <c r="N136" s="16">
        <v>2</v>
      </c>
      <c r="O136" s="16">
        <v>1</v>
      </c>
      <c r="P136" t="s">
        <v>2678</v>
      </c>
      <c r="Q136" t="s">
        <v>2560</v>
      </c>
      <c r="R136" t="s">
        <v>2766</v>
      </c>
    </row>
    <row r="137" spans="1:18" x14ac:dyDescent="0.15">
      <c r="A137" t="s">
        <v>2698</v>
      </c>
      <c r="B137" t="s">
        <v>2764</v>
      </c>
      <c r="C137" t="s">
        <v>2658</v>
      </c>
      <c r="D137">
        <v>3.34</v>
      </c>
      <c r="E137">
        <v>2.1800000000000002</v>
      </c>
      <c r="F137" t="s">
        <v>2699</v>
      </c>
      <c r="G137" s="16">
        <v>0</v>
      </c>
      <c r="H137" s="16">
        <v>4</v>
      </c>
      <c r="I137" s="16">
        <v>1</v>
      </c>
      <c r="J137" s="16">
        <v>0</v>
      </c>
      <c r="K137" s="16">
        <v>0</v>
      </c>
      <c r="L137" s="16">
        <v>0</v>
      </c>
      <c r="M137" s="16">
        <v>0</v>
      </c>
      <c r="N137" s="16">
        <v>2</v>
      </c>
      <c r="O137" s="16">
        <v>1</v>
      </c>
      <c r="P137" t="s">
        <v>2678</v>
      </c>
      <c r="Q137" t="s">
        <v>2679</v>
      </c>
      <c r="R137" t="s">
        <v>2700</v>
      </c>
    </row>
    <row r="138" spans="1:18" x14ac:dyDescent="0.15">
      <c r="A138" t="s">
        <v>2905</v>
      </c>
      <c r="B138" t="s">
        <v>2764</v>
      </c>
      <c r="C138" t="s">
        <v>2658</v>
      </c>
      <c r="D138">
        <v>5.98</v>
      </c>
      <c r="E138">
        <v>1.53</v>
      </c>
      <c r="F138" t="s">
        <v>2906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1</v>
      </c>
      <c r="N138" s="16">
        <v>1</v>
      </c>
      <c r="O138" s="16">
        <v>1</v>
      </c>
      <c r="P138" t="s">
        <v>2678</v>
      </c>
      <c r="Q138" t="s">
        <v>2907</v>
      </c>
      <c r="R138" t="s">
        <v>2908</v>
      </c>
    </row>
    <row r="139" spans="1:18" x14ac:dyDescent="0.15">
      <c r="A139" t="s">
        <v>2951</v>
      </c>
      <c r="B139" t="s">
        <v>2952</v>
      </c>
      <c r="C139" t="s">
        <v>2658</v>
      </c>
      <c r="D139">
        <v>3.41</v>
      </c>
      <c r="E139">
        <v>1.85</v>
      </c>
      <c r="F139" t="s">
        <v>2953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1</v>
      </c>
      <c r="M139" s="16">
        <v>1</v>
      </c>
      <c r="N139" s="16">
        <v>1</v>
      </c>
      <c r="O139" s="16">
        <v>2</v>
      </c>
      <c r="P139" t="s">
        <v>2678</v>
      </c>
      <c r="Q139" t="s">
        <v>2560</v>
      </c>
      <c r="R139" t="s">
        <v>2769</v>
      </c>
    </row>
    <row r="140" spans="1:18" x14ac:dyDescent="0.15">
      <c r="A140" t="s">
        <v>1334</v>
      </c>
      <c r="B140" t="s">
        <v>1335</v>
      </c>
      <c r="C140" t="s">
        <v>2659</v>
      </c>
      <c r="D140">
        <v>3.09</v>
      </c>
      <c r="E140">
        <v>1.33</v>
      </c>
      <c r="F140" t="s">
        <v>982</v>
      </c>
      <c r="G140" s="16">
        <v>0</v>
      </c>
      <c r="H140" s="16">
        <v>3</v>
      </c>
      <c r="I140" s="16">
        <v>2</v>
      </c>
      <c r="J140" s="16">
        <v>1</v>
      </c>
      <c r="K140" s="16">
        <v>1</v>
      </c>
      <c r="L140" s="16">
        <v>0</v>
      </c>
      <c r="M140" s="16">
        <v>2</v>
      </c>
      <c r="N140" s="16">
        <v>3</v>
      </c>
      <c r="O140" s="16">
        <v>2</v>
      </c>
      <c r="P140" t="s">
        <v>978</v>
      </c>
      <c r="Q140" t="s">
        <v>979</v>
      </c>
    </row>
    <row r="141" spans="1:18" x14ac:dyDescent="0.15">
      <c r="A141" t="s">
        <v>1382</v>
      </c>
      <c r="B141" t="s">
        <v>1383</v>
      </c>
      <c r="C141" t="s">
        <v>2659</v>
      </c>
      <c r="D141">
        <v>2.34</v>
      </c>
      <c r="E141">
        <v>1.1299999999999999</v>
      </c>
      <c r="F141" t="s">
        <v>1384</v>
      </c>
      <c r="G141" s="16">
        <v>0</v>
      </c>
      <c r="H141" s="16">
        <v>3</v>
      </c>
      <c r="I141" s="16">
        <v>1</v>
      </c>
      <c r="J141" s="16">
        <v>0</v>
      </c>
      <c r="K141" s="16">
        <v>0</v>
      </c>
      <c r="L141" s="16">
        <v>0</v>
      </c>
      <c r="M141" s="16">
        <v>0</v>
      </c>
      <c r="N141" s="16">
        <v>2</v>
      </c>
      <c r="O141" s="16">
        <v>2</v>
      </c>
      <c r="P141" t="s">
        <v>1441</v>
      </c>
      <c r="Q141" t="s">
        <v>1139</v>
      </c>
    </row>
    <row r="142" spans="1:18" x14ac:dyDescent="0.15">
      <c r="A142" t="s">
        <v>984</v>
      </c>
      <c r="B142" t="s">
        <v>1383</v>
      </c>
      <c r="C142" t="s">
        <v>2659</v>
      </c>
      <c r="D142">
        <v>4.6500000000000004</v>
      </c>
      <c r="E142">
        <v>2.75</v>
      </c>
      <c r="F142" t="s">
        <v>1159</v>
      </c>
      <c r="G142" s="16">
        <v>0</v>
      </c>
      <c r="H142" s="16">
        <v>3</v>
      </c>
      <c r="I142" s="16">
        <v>3</v>
      </c>
      <c r="J142" s="16">
        <v>0</v>
      </c>
      <c r="K142" s="16">
        <v>0</v>
      </c>
      <c r="L142" s="16">
        <v>0</v>
      </c>
      <c r="M142" s="16">
        <v>1</v>
      </c>
      <c r="N142" s="16">
        <v>3</v>
      </c>
      <c r="O142" s="16">
        <v>2</v>
      </c>
      <c r="P142" t="s">
        <v>1441</v>
      </c>
      <c r="Q142" t="s">
        <v>1059</v>
      </c>
      <c r="R142" s="8"/>
    </row>
    <row r="143" spans="1:18" x14ac:dyDescent="0.15">
      <c r="A143" t="s">
        <v>2725</v>
      </c>
      <c r="B143" t="s">
        <v>2726</v>
      </c>
      <c r="C143" t="s">
        <v>2658</v>
      </c>
      <c r="D143">
        <v>6.42</v>
      </c>
      <c r="E143">
        <v>3.03</v>
      </c>
      <c r="F143" t="s">
        <v>2727</v>
      </c>
      <c r="G143" s="16">
        <v>1</v>
      </c>
      <c r="H143" s="16">
        <v>1</v>
      </c>
      <c r="I143" s="16">
        <v>1</v>
      </c>
      <c r="J143" s="16">
        <v>2</v>
      </c>
      <c r="K143" s="16">
        <v>2</v>
      </c>
      <c r="L143" s="16">
        <v>0</v>
      </c>
      <c r="M143" s="16">
        <v>1</v>
      </c>
      <c r="N143" s="16">
        <v>3</v>
      </c>
      <c r="O143" s="16">
        <v>2</v>
      </c>
      <c r="P143" t="s">
        <v>2678</v>
      </c>
      <c r="Q143" t="s">
        <v>2564</v>
      </c>
      <c r="R143" s="8"/>
    </row>
    <row r="144" spans="1:18" x14ac:dyDescent="0.15">
      <c r="A144" t="s">
        <v>2854</v>
      </c>
      <c r="B144" t="s">
        <v>2726</v>
      </c>
      <c r="C144" t="s">
        <v>2658</v>
      </c>
      <c r="D144">
        <v>3.15</v>
      </c>
      <c r="E144">
        <v>1.17</v>
      </c>
      <c r="F144" t="s">
        <v>2855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2</v>
      </c>
      <c r="N144" s="16">
        <v>1</v>
      </c>
      <c r="O144" s="16">
        <v>1</v>
      </c>
      <c r="P144" t="s">
        <v>2678</v>
      </c>
      <c r="Q144" t="s">
        <v>2560</v>
      </c>
      <c r="R144" s="9"/>
    </row>
    <row r="145" spans="1:18" x14ac:dyDescent="0.15">
      <c r="A145" t="s">
        <v>2691</v>
      </c>
      <c r="B145" t="s">
        <v>2726</v>
      </c>
      <c r="C145" t="s">
        <v>2658</v>
      </c>
      <c r="D145">
        <v>3.22</v>
      </c>
      <c r="E145">
        <v>1.59</v>
      </c>
      <c r="F145" t="s">
        <v>2692</v>
      </c>
      <c r="G145" s="16">
        <v>1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2</v>
      </c>
      <c r="O145" s="16">
        <v>2</v>
      </c>
      <c r="P145" t="s">
        <v>2678</v>
      </c>
      <c r="Q145" t="s">
        <v>2794</v>
      </c>
      <c r="R145" s="9"/>
    </row>
    <row r="146" spans="1:18" x14ac:dyDescent="0.15">
      <c r="A146" t="s">
        <v>2696</v>
      </c>
      <c r="B146" t="s">
        <v>2726</v>
      </c>
      <c r="C146" t="s">
        <v>2658</v>
      </c>
      <c r="D146">
        <v>2.84</v>
      </c>
      <c r="E146">
        <v>1.34</v>
      </c>
      <c r="F146" t="s">
        <v>2697</v>
      </c>
      <c r="G146" s="16">
        <v>0</v>
      </c>
      <c r="H146" s="16">
        <v>3</v>
      </c>
      <c r="I146" s="16">
        <v>1</v>
      </c>
      <c r="J146" s="16">
        <v>0</v>
      </c>
      <c r="K146" s="16">
        <v>0</v>
      </c>
      <c r="L146" s="16">
        <v>0</v>
      </c>
      <c r="M146" s="16">
        <v>1</v>
      </c>
      <c r="N146" s="16">
        <v>2</v>
      </c>
      <c r="O146" s="16">
        <v>2</v>
      </c>
      <c r="P146" t="s">
        <v>2678</v>
      </c>
      <c r="Q146" t="s">
        <v>2560</v>
      </c>
      <c r="R146" s="8"/>
    </row>
    <row r="147" spans="1:18" x14ac:dyDescent="0.15">
      <c r="A147" t="s">
        <v>2779</v>
      </c>
      <c r="B147" t="s">
        <v>2726</v>
      </c>
      <c r="C147" t="s">
        <v>2658</v>
      </c>
      <c r="D147">
        <v>3.22</v>
      </c>
      <c r="E147">
        <v>1.33</v>
      </c>
      <c r="F147" t="s">
        <v>2780</v>
      </c>
      <c r="G147" s="16">
        <v>0</v>
      </c>
      <c r="H147" s="16">
        <v>2</v>
      </c>
      <c r="I147" s="16">
        <v>1</v>
      </c>
      <c r="J147" s="16">
        <v>1</v>
      </c>
      <c r="K147" s="16">
        <v>1</v>
      </c>
      <c r="L147" s="16">
        <v>1</v>
      </c>
      <c r="M147" s="16">
        <v>1</v>
      </c>
      <c r="N147" s="16">
        <v>2</v>
      </c>
      <c r="O147" s="16">
        <v>2</v>
      </c>
      <c r="P147" t="s">
        <v>2678</v>
      </c>
      <c r="Q147" t="s">
        <v>2560</v>
      </c>
      <c r="R147" s="8" t="s">
        <v>2781</v>
      </c>
    </row>
    <row r="148" spans="1:18" x14ac:dyDescent="0.15">
      <c r="A148" t="s">
        <v>2968</v>
      </c>
      <c r="B148" t="s">
        <v>2726</v>
      </c>
      <c r="C148" t="s">
        <v>2658</v>
      </c>
      <c r="D148">
        <v>1.87</v>
      </c>
      <c r="E148">
        <v>1.01</v>
      </c>
      <c r="F148" t="s">
        <v>2969</v>
      </c>
      <c r="G148" s="16">
        <v>0</v>
      </c>
      <c r="H148" s="16">
        <v>2</v>
      </c>
      <c r="I148" s="16">
        <v>1</v>
      </c>
      <c r="J148" s="16">
        <v>2</v>
      </c>
      <c r="K148" s="16">
        <v>2</v>
      </c>
      <c r="L148" s="16">
        <v>0</v>
      </c>
      <c r="M148" s="16">
        <v>1</v>
      </c>
      <c r="N148" s="16">
        <v>2</v>
      </c>
      <c r="O148" s="16">
        <v>2</v>
      </c>
      <c r="P148" t="s">
        <v>2678</v>
      </c>
      <c r="Q148" t="s">
        <v>2560</v>
      </c>
      <c r="R148" t="s">
        <v>2970</v>
      </c>
    </row>
    <row r="149" spans="1:18" x14ac:dyDescent="0.15">
      <c r="A149" t="s">
        <v>1148</v>
      </c>
      <c r="B149" t="s">
        <v>1149</v>
      </c>
      <c r="C149" t="s">
        <v>2659</v>
      </c>
      <c r="D149">
        <v>3.43</v>
      </c>
      <c r="E149">
        <v>1.74</v>
      </c>
      <c r="F149" t="s">
        <v>1329</v>
      </c>
      <c r="G149" s="16">
        <v>0</v>
      </c>
      <c r="H149" s="16">
        <v>4</v>
      </c>
      <c r="I149" s="16">
        <v>2</v>
      </c>
      <c r="J149" s="16">
        <v>0</v>
      </c>
      <c r="K149" s="16">
        <v>0</v>
      </c>
      <c r="L149" s="16">
        <v>0</v>
      </c>
      <c r="M149" s="16">
        <v>1</v>
      </c>
      <c r="N149" s="16">
        <v>2</v>
      </c>
      <c r="O149" s="16">
        <v>1</v>
      </c>
      <c r="P149" t="s">
        <v>1441</v>
      </c>
      <c r="Q149" t="s">
        <v>1059</v>
      </c>
      <c r="R149" s="8"/>
    </row>
    <row r="150" spans="1:18" x14ac:dyDescent="0.15">
      <c r="A150" t="s">
        <v>1344</v>
      </c>
      <c r="B150" t="s">
        <v>1345</v>
      </c>
      <c r="C150" t="s">
        <v>2659</v>
      </c>
      <c r="D150">
        <v>3.5</v>
      </c>
      <c r="E150">
        <v>1.72</v>
      </c>
      <c r="F150" t="s">
        <v>1067</v>
      </c>
      <c r="G150" s="16">
        <v>0</v>
      </c>
      <c r="H150" s="16">
        <v>1</v>
      </c>
      <c r="I150" s="16">
        <v>1</v>
      </c>
      <c r="J150" s="16">
        <v>2</v>
      </c>
      <c r="K150" s="16">
        <v>2</v>
      </c>
      <c r="L150" s="16">
        <v>0</v>
      </c>
      <c r="M150" s="16">
        <v>1</v>
      </c>
      <c r="N150" s="16">
        <v>1</v>
      </c>
      <c r="O150" s="16">
        <v>2</v>
      </c>
      <c r="P150" t="s">
        <v>1372</v>
      </c>
      <c r="Q150" t="s">
        <v>1068</v>
      </c>
      <c r="R150" s="8"/>
    </row>
    <row r="151" spans="1:18" x14ac:dyDescent="0.15">
      <c r="A151" t="s">
        <v>2712</v>
      </c>
      <c r="B151" t="s">
        <v>2713</v>
      </c>
      <c r="C151" t="s">
        <v>2658</v>
      </c>
      <c r="D151">
        <v>11.81</v>
      </c>
      <c r="E151">
        <v>5</v>
      </c>
      <c r="F151" t="s">
        <v>2714</v>
      </c>
      <c r="G151" s="16">
        <v>2</v>
      </c>
      <c r="H151" s="16">
        <v>1</v>
      </c>
      <c r="I151" s="16">
        <v>1</v>
      </c>
      <c r="J151" s="16">
        <v>0</v>
      </c>
      <c r="K151" s="16">
        <v>0</v>
      </c>
      <c r="L151" s="16">
        <v>0</v>
      </c>
      <c r="M151" s="16">
        <v>1</v>
      </c>
      <c r="N151" s="16">
        <v>1</v>
      </c>
      <c r="O151" s="16">
        <v>1</v>
      </c>
      <c r="P151" t="s">
        <v>2678</v>
      </c>
      <c r="Q151" t="s">
        <v>2715</v>
      </c>
      <c r="R151" s="9"/>
    </row>
    <row r="152" spans="1:18" x14ac:dyDescent="0.15">
      <c r="A152" t="s">
        <v>2866</v>
      </c>
      <c r="B152" t="s">
        <v>2713</v>
      </c>
      <c r="C152" t="s">
        <v>2658</v>
      </c>
      <c r="D152">
        <v>2.36</v>
      </c>
      <c r="E152">
        <v>1.39</v>
      </c>
      <c r="F152" t="s">
        <v>2867</v>
      </c>
      <c r="G152" s="16">
        <v>0</v>
      </c>
      <c r="H152" s="16">
        <v>4</v>
      </c>
      <c r="I152" s="16">
        <v>2</v>
      </c>
      <c r="J152" s="16">
        <v>0</v>
      </c>
      <c r="K152" s="16">
        <v>0</v>
      </c>
      <c r="L152" s="16">
        <v>0</v>
      </c>
      <c r="M152" s="16">
        <v>0</v>
      </c>
      <c r="N152" s="16">
        <v>2</v>
      </c>
      <c r="O152" s="16">
        <v>2</v>
      </c>
      <c r="P152" t="s">
        <v>2678</v>
      </c>
      <c r="Q152" t="s">
        <v>2679</v>
      </c>
    </row>
    <row r="153" spans="1:18" x14ac:dyDescent="0.15">
      <c r="A153" t="s">
        <v>2887</v>
      </c>
      <c r="B153" t="s">
        <v>2713</v>
      </c>
      <c r="C153" t="s">
        <v>2658</v>
      </c>
      <c r="D153">
        <v>3.05</v>
      </c>
      <c r="E153">
        <v>1.33</v>
      </c>
      <c r="F153" t="s">
        <v>2888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1</v>
      </c>
      <c r="N153" s="16">
        <v>2</v>
      </c>
      <c r="O153" s="16">
        <v>2</v>
      </c>
      <c r="P153" t="s">
        <v>2678</v>
      </c>
      <c r="Q153" t="s">
        <v>2560</v>
      </c>
      <c r="R153" s="9"/>
    </row>
    <row r="154" spans="1:18" x14ac:dyDescent="0.15">
      <c r="A154" t="s">
        <v>1084</v>
      </c>
      <c r="B154" t="s">
        <v>1085</v>
      </c>
      <c r="C154" t="s">
        <v>2663</v>
      </c>
      <c r="D154">
        <v>1.4</v>
      </c>
      <c r="E154">
        <v>0.45</v>
      </c>
      <c r="F154" t="s">
        <v>1243</v>
      </c>
      <c r="G154" s="16">
        <v>3</v>
      </c>
      <c r="H154" s="16">
        <v>2</v>
      </c>
      <c r="I154" s="16">
        <v>1</v>
      </c>
      <c r="J154" s="16">
        <v>2</v>
      </c>
      <c r="K154" s="16">
        <v>2</v>
      </c>
      <c r="L154" s="16">
        <v>0</v>
      </c>
      <c r="M154" s="16">
        <v>1</v>
      </c>
      <c r="N154" s="16">
        <v>1</v>
      </c>
      <c r="O154" s="16">
        <v>1</v>
      </c>
      <c r="P154" t="s">
        <v>1241</v>
      </c>
      <c r="Q154" t="s">
        <v>1242</v>
      </c>
      <c r="R154" s="8"/>
    </row>
    <row r="155" spans="1:18" x14ac:dyDescent="0.15">
      <c r="A155" t="s">
        <v>2740</v>
      </c>
      <c r="B155" t="s">
        <v>2662</v>
      </c>
      <c r="C155" t="s">
        <v>2662</v>
      </c>
      <c r="D155">
        <v>1.89</v>
      </c>
      <c r="E155">
        <v>0.53</v>
      </c>
      <c r="F155" t="s">
        <v>2741</v>
      </c>
      <c r="G155" s="16">
        <v>2</v>
      </c>
      <c r="H155" s="16">
        <v>0</v>
      </c>
      <c r="I155" s="16">
        <v>0</v>
      </c>
      <c r="J155" s="16">
        <v>0</v>
      </c>
      <c r="K155" s="16">
        <v>0</v>
      </c>
      <c r="L155" s="16">
        <v>1</v>
      </c>
      <c r="M155" s="16">
        <v>1</v>
      </c>
      <c r="N155" s="16">
        <v>1</v>
      </c>
      <c r="O155" s="16">
        <v>3</v>
      </c>
      <c r="P155" t="s">
        <v>2674</v>
      </c>
      <c r="Q155" t="s">
        <v>2564</v>
      </c>
      <c r="R155" s="8" t="s">
        <v>2742</v>
      </c>
    </row>
    <row r="156" spans="1:18" x14ac:dyDescent="0.15">
      <c r="A156" t="s">
        <v>2782</v>
      </c>
      <c r="B156" t="s">
        <v>2662</v>
      </c>
      <c r="C156" t="s">
        <v>2662</v>
      </c>
      <c r="D156">
        <v>1.02</v>
      </c>
      <c r="E156">
        <v>0.28999999999999998</v>
      </c>
      <c r="F156" t="s">
        <v>2783</v>
      </c>
      <c r="G156" s="16">
        <v>0</v>
      </c>
      <c r="H156" s="16">
        <v>1</v>
      </c>
      <c r="I156" s="16">
        <v>1</v>
      </c>
      <c r="J156" s="16">
        <v>1</v>
      </c>
      <c r="K156" s="16">
        <v>1</v>
      </c>
      <c r="L156" s="16">
        <v>1</v>
      </c>
      <c r="M156" s="16">
        <v>1</v>
      </c>
      <c r="N156" s="16">
        <v>1</v>
      </c>
      <c r="O156" s="16">
        <v>2</v>
      </c>
      <c r="P156" t="s">
        <v>2678</v>
      </c>
      <c r="Q156" t="s">
        <v>2560</v>
      </c>
      <c r="R156" s="9"/>
    </row>
    <row r="157" spans="1:18" x14ac:dyDescent="0.15">
      <c r="A157" t="s">
        <v>2979</v>
      </c>
      <c r="B157" t="s">
        <v>2662</v>
      </c>
      <c r="C157" t="s">
        <v>2662</v>
      </c>
      <c r="D157">
        <v>2.3199999999999998</v>
      </c>
      <c r="E157">
        <v>0.69</v>
      </c>
      <c r="F157" t="s">
        <v>2980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2</v>
      </c>
      <c r="P157" t="s">
        <v>2674</v>
      </c>
      <c r="Q157" t="s">
        <v>2719</v>
      </c>
      <c r="R157" s="8"/>
    </row>
    <row r="158" spans="1:18" x14ac:dyDescent="0.15">
      <c r="A158" t="s">
        <v>1297</v>
      </c>
      <c r="B158" t="s">
        <v>1298</v>
      </c>
      <c r="D158">
        <v>2.34</v>
      </c>
      <c r="E158">
        <v>1.35</v>
      </c>
      <c r="F158" t="s">
        <v>1299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2</v>
      </c>
      <c r="P158" t="s">
        <v>1296</v>
      </c>
      <c r="Q158" t="s">
        <v>1300</v>
      </c>
    </row>
    <row r="159" spans="1:18" x14ac:dyDescent="0.15">
      <c r="A159" t="s">
        <v>1469</v>
      </c>
      <c r="B159" t="s">
        <v>1470</v>
      </c>
      <c r="D159">
        <v>1.48</v>
      </c>
      <c r="E159">
        <v>0.44</v>
      </c>
      <c r="F159" t="s">
        <v>980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1</v>
      </c>
      <c r="N159" s="16">
        <v>1</v>
      </c>
      <c r="O159" s="16">
        <v>2</v>
      </c>
      <c r="P159" t="s">
        <v>978</v>
      </c>
      <c r="Q159" t="s">
        <v>979</v>
      </c>
      <c r="R159" s="8"/>
    </row>
    <row r="160" spans="1:18" x14ac:dyDescent="0.15">
      <c r="A160" t="s">
        <v>1070</v>
      </c>
      <c r="B160" t="s">
        <v>1239</v>
      </c>
      <c r="D160">
        <v>11.27</v>
      </c>
      <c r="E160">
        <v>1.08</v>
      </c>
      <c r="F160" t="s">
        <v>1240</v>
      </c>
      <c r="G160" s="16">
        <v>0</v>
      </c>
      <c r="H160" s="16">
        <v>1</v>
      </c>
      <c r="I160" s="16">
        <v>2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t="s">
        <v>1241</v>
      </c>
      <c r="Q160" t="s">
        <v>1241</v>
      </c>
      <c r="R160" s="8"/>
    </row>
    <row r="161" spans="1:18" x14ac:dyDescent="0.15">
      <c r="A161" t="s">
        <v>1221</v>
      </c>
      <c r="B161" t="s">
        <v>1239</v>
      </c>
      <c r="D161">
        <v>2.5499999999999998</v>
      </c>
      <c r="E161">
        <v>0.54</v>
      </c>
      <c r="F161" t="s">
        <v>1146</v>
      </c>
      <c r="G161" s="16">
        <v>0</v>
      </c>
      <c r="H161" s="16">
        <v>1</v>
      </c>
      <c r="I161" s="16">
        <v>2</v>
      </c>
      <c r="J161" s="16">
        <v>0</v>
      </c>
      <c r="K161" s="16">
        <v>0</v>
      </c>
      <c r="L161" s="16">
        <v>0</v>
      </c>
      <c r="M161" s="16">
        <v>0</v>
      </c>
      <c r="N161" s="16">
        <v>1</v>
      </c>
      <c r="O161" s="16">
        <v>2</v>
      </c>
      <c r="P161" t="s">
        <v>1241</v>
      </c>
      <c r="Q161" t="s">
        <v>1147</v>
      </c>
    </row>
    <row r="162" spans="1:18" x14ac:dyDescent="0.15">
      <c r="A162" t="s">
        <v>1258</v>
      </c>
      <c r="B162" t="s">
        <v>1239</v>
      </c>
      <c r="D162">
        <v>2.67</v>
      </c>
      <c r="E162">
        <v>1.7</v>
      </c>
      <c r="F162" t="s">
        <v>1454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1</v>
      </c>
      <c r="O162" s="16">
        <v>2</v>
      </c>
      <c r="P162" t="s">
        <v>1441</v>
      </c>
      <c r="Q162" t="s">
        <v>1139</v>
      </c>
      <c r="R162" s="8" t="s">
        <v>1325</v>
      </c>
    </row>
    <row r="163" spans="1:18" x14ac:dyDescent="0.15">
      <c r="A163" t="s">
        <v>1262</v>
      </c>
      <c r="B163" t="s">
        <v>1212</v>
      </c>
      <c r="D163">
        <v>1.45</v>
      </c>
      <c r="E163">
        <v>1</v>
      </c>
      <c r="F163" t="s">
        <v>1118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2</v>
      </c>
      <c r="P163" t="s">
        <v>1441</v>
      </c>
      <c r="Q163" t="s">
        <v>1119</v>
      </c>
      <c r="R163" t="s">
        <v>1143</v>
      </c>
    </row>
    <row r="164" spans="1:18" x14ac:dyDescent="0.15">
      <c r="A164" t="s">
        <v>1385</v>
      </c>
      <c r="B164" t="s">
        <v>1239</v>
      </c>
      <c r="D164">
        <v>0.61</v>
      </c>
      <c r="E164">
        <v>0.32</v>
      </c>
      <c r="F164" t="s">
        <v>1386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2</v>
      </c>
      <c r="P164" t="s">
        <v>1387</v>
      </c>
      <c r="Q164" t="s">
        <v>1119</v>
      </c>
      <c r="R164" s="8"/>
    </row>
    <row r="165" spans="1:18" x14ac:dyDescent="0.15">
      <c r="A165" t="s">
        <v>1379</v>
      </c>
      <c r="B165" t="s">
        <v>1239</v>
      </c>
      <c r="D165">
        <v>1.65</v>
      </c>
      <c r="E165">
        <v>0.68</v>
      </c>
      <c r="F165" t="s">
        <v>1175</v>
      </c>
      <c r="G165" s="16">
        <v>0</v>
      </c>
      <c r="H165" s="16">
        <v>2</v>
      </c>
      <c r="I165" s="16">
        <v>1</v>
      </c>
      <c r="J165" s="16">
        <v>1</v>
      </c>
      <c r="K165" s="16">
        <v>1</v>
      </c>
      <c r="L165" s="16">
        <v>0</v>
      </c>
      <c r="M165" s="16">
        <v>1</v>
      </c>
      <c r="N165" s="16">
        <v>1</v>
      </c>
      <c r="O165" s="16">
        <v>2</v>
      </c>
      <c r="P165" t="s">
        <v>1176</v>
      </c>
      <c r="Q165" t="s">
        <v>1059</v>
      </c>
    </row>
    <row r="166" spans="1:18" x14ac:dyDescent="0.15">
      <c r="A166" t="s">
        <v>1266</v>
      </c>
      <c r="B166" t="s">
        <v>1239</v>
      </c>
      <c r="D166">
        <v>2.46</v>
      </c>
      <c r="E166">
        <v>1.61</v>
      </c>
      <c r="F166" t="s">
        <v>1267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2</v>
      </c>
      <c r="O166" s="16">
        <v>1</v>
      </c>
      <c r="P166" t="s">
        <v>1441</v>
      </c>
      <c r="Q166" t="s">
        <v>1268</v>
      </c>
    </row>
    <row r="167" spans="1:18" x14ac:dyDescent="0.15">
      <c r="A167" t="s">
        <v>1160</v>
      </c>
      <c r="B167" t="s">
        <v>1239</v>
      </c>
      <c r="D167">
        <v>1.58</v>
      </c>
      <c r="E167">
        <v>0.82</v>
      </c>
      <c r="F167" t="s">
        <v>1161</v>
      </c>
      <c r="G167" s="16">
        <v>0</v>
      </c>
      <c r="H167" s="16">
        <v>6</v>
      </c>
      <c r="I167" s="16">
        <v>2</v>
      </c>
      <c r="J167" s="16">
        <v>0</v>
      </c>
      <c r="K167" s="16">
        <v>0</v>
      </c>
      <c r="L167" s="16">
        <v>0</v>
      </c>
      <c r="M167" s="16">
        <v>1</v>
      </c>
      <c r="N167" s="16">
        <v>2</v>
      </c>
      <c r="O167" s="16">
        <v>3</v>
      </c>
      <c r="P167" t="s">
        <v>1083</v>
      </c>
      <c r="Q167" t="s">
        <v>1059</v>
      </c>
      <c r="R167" s="8"/>
    </row>
    <row r="168" spans="1:18" x14ac:dyDescent="0.15">
      <c r="A168" t="s">
        <v>1303</v>
      </c>
      <c r="B168" t="s">
        <v>1304</v>
      </c>
      <c r="D168">
        <v>0.75</v>
      </c>
      <c r="E168">
        <v>0.33</v>
      </c>
      <c r="F168" t="s">
        <v>1305</v>
      </c>
      <c r="G168" s="16">
        <v>0</v>
      </c>
      <c r="H168" s="16">
        <v>1</v>
      </c>
      <c r="I168" s="16">
        <v>1</v>
      </c>
      <c r="J168" s="16">
        <v>2</v>
      </c>
      <c r="K168" s="16">
        <v>1</v>
      </c>
      <c r="L168" s="16">
        <v>0</v>
      </c>
      <c r="M168" s="16">
        <v>1</v>
      </c>
      <c r="N168" s="16">
        <v>1</v>
      </c>
      <c r="O168" s="16">
        <v>1</v>
      </c>
      <c r="P168" t="s">
        <v>1441</v>
      </c>
      <c r="Q168" t="s">
        <v>1059</v>
      </c>
      <c r="R168" s="8"/>
    </row>
    <row r="169" spans="1:18" x14ac:dyDescent="0.15">
      <c r="A169" t="s">
        <v>1431</v>
      </c>
      <c r="B169" t="s">
        <v>1239</v>
      </c>
      <c r="D169">
        <v>3.44</v>
      </c>
      <c r="E169">
        <v>0.96</v>
      </c>
      <c r="F169" t="s">
        <v>1150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1</v>
      </c>
      <c r="O169" s="16">
        <v>2</v>
      </c>
      <c r="P169" t="s">
        <v>1441</v>
      </c>
      <c r="Q169" t="s">
        <v>1151</v>
      </c>
    </row>
    <row r="170" spans="1:18" x14ac:dyDescent="0.15">
      <c r="A170" t="s">
        <v>1331</v>
      </c>
      <c r="B170" t="s">
        <v>1332</v>
      </c>
      <c r="D170">
        <v>3.64</v>
      </c>
      <c r="E170">
        <v>1.65</v>
      </c>
      <c r="F170" t="s">
        <v>1246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1</v>
      </c>
      <c r="O170" s="16">
        <v>2</v>
      </c>
      <c r="P170" t="s">
        <v>1441</v>
      </c>
      <c r="Q170" t="s">
        <v>1139</v>
      </c>
    </row>
    <row r="171" spans="1:18" x14ac:dyDescent="0.15">
      <c r="A171" t="s">
        <v>1203</v>
      </c>
      <c r="B171" t="s">
        <v>1239</v>
      </c>
      <c r="D171">
        <v>2.36</v>
      </c>
      <c r="E171">
        <v>0.76</v>
      </c>
      <c r="F171" t="s">
        <v>1204</v>
      </c>
      <c r="G171" s="16">
        <v>0</v>
      </c>
      <c r="H171" s="16">
        <v>1</v>
      </c>
      <c r="I171" s="16">
        <v>1</v>
      </c>
      <c r="J171" s="16">
        <v>0</v>
      </c>
      <c r="K171" s="16">
        <v>0</v>
      </c>
      <c r="L171" s="16">
        <v>0</v>
      </c>
      <c r="M171" s="16">
        <v>0</v>
      </c>
      <c r="N171" s="16">
        <v>1</v>
      </c>
      <c r="O171" s="16">
        <v>2</v>
      </c>
      <c r="P171" t="s">
        <v>1441</v>
      </c>
      <c r="Q171" t="s">
        <v>1139</v>
      </c>
    </row>
    <row r="172" spans="1:18" x14ac:dyDescent="0.15">
      <c r="A172" t="s">
        <v>1339</v>
      </c>
      <c r="B172" t="s">
        <v>1340</v>
      </c>
      <c r="D172">
        <v>0.79</v>
      </c>
      <c r="E172">
        <v>0.88</v>
      </c>
      <c r="F172" t="s">
        <v>1341</v>
      </c>
      <c r="G172" s="16">
        <v>2</v>
      </c>
      <c r="H172" s="16">
        <v>4</v>
      </c>
      <c r="I172" s="16">
        <v>2</v>
      </c>
      <c r="J172" s="16">
        <v>0</v>
      </c>
      <c r="K172" s="16">
        <v>0</v>
      </c>
      <c r="L172" s="16">
        <v>0</v>
      </c>
      <c r="M172" s="16">
        <v>0</v>
      </c>
      <c r="N172" s="16">
        <v>1</v>
      </c>
      <c r="O172" s="16">
        <v>0</v>
      </c>
      <c r="P172" t="s">
        <v>1372</v>
      </c>
      <c r="Q172" t="s">
        <v>1444</v>
      </c>
    </row>
    <row r="173" spans="1:18" x14ac:dyDescent="0.15">
      <c r="A173" t="s">
        <v>1251</v>
      </c>
      <c r="B173" t="s">
        <v>1252</v>
      </c>
      <c r="D173">
        <v>2.61</v>
      </c>
      <c r="E173">
        <v>1.27</v>
      </c>
      <c r="F173" t="s">
        <v>1253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1</v>
      </c>
      <c r="O173" s="16">
        <v>2</v>
      </c>
      <c r="P173" t="s">
        <v>1254</v>
      </c>
      <c r="Q173" t="s">
        <v>1255</v>
      </c>
      <c r="R173" t="s">
        <v>1501</v>
      </c>
    </row>
    <row r="174" spans="1:18" x14ac:dyDescent="0.15">
      <c r="A174" t="s">
        <v>1502</v>
      </c>
      <c r="B174" t="s">
        <v>1229</v>
      </c>
      <c r="D174">
        <v>13.4</v>
      </c>
      <c r="E174">
        <v>3.88</v>
      </c>
      <c r="F174" t="s">
        <v>1414</v>
      </c>
      <c r="G174" s="16">
        <v>0</v>
      </c>
      <c r="H174" s="16">
        <v>1</v>
      </c>
      <c r="I174" s="16">
        <v>1</v>
      </c>
      <c r="J174" s="16">
        <v>0</v>
      </c>
      <c r="K174" s="16">
        <v>0</v>
      </c>
      <c r="L174" s="16">
        <v>0</v>
      </c>
      <c r="M174" s="16">
        <v>0</v>
      </c>
      <c r="N174" s="16">
        <v>1</v>
      </c>
      <c r="O174" s="16">
        <v>2</v>
      </c>
      <c r="P174" t="s">
        <v>1415</v>
      </c>
      <c r="Q174" t="s">
        <v>1413</v>
      </c>
      <c r="R174" t="s">
        <v>1046</v>
      </c>
    </row>
    <row r="175" spans="1:18" x14ac:dyDescent="0.15">
      <c r="A175" t="s">
        <v>2671</v>
      </c>
      <c r="B175" t="s">
        <v>2672</v>
      </c>
      <c r="D175">
        <v>13.71</v>
      </c>
      <c r="E175">
        <v>3.93</v>
      </c>
      <c r="F175" t="s">
        <v>2673</v>
      </c>
      <c r="G175" s="16">
        <v>0</v>
      </c>
      <c r="H175" s="16">
        <v>2</v>
      </c>
      <c r="I175" s="16">
        <v>1</v>
      </c>
      <c r="J175" s="16">
        <v>0</v>
      </c>
      <c r="K175" s="16">
        <v>0</v>
      </c>
      <c r="L175" s="16">
        <v>0</v>
      </c>
      <c r="M175" s="16">
        <v>1</v>
      </c>
      <c r="N175" s="16">
        <v>1</v>
      </c>
      <c r="O175" s="16">
        <v>2</v>
      </c>
      <c r="P175" t="s">
        <v>2674</v>
      </c>
      <c r="Q175" t="s">
        <v>2675</v>
      </c>
      <c r="R175" s="9"/>
    </row>
    <row r="176" spans="1:18" x14ac:dyDescent="0.15">
      <c r="A176" t="s">
        <v>2743</v>
      </c>
      <c r="B176" t="s">
        <v>2672</v>
      </c>
      <c r="D176">
        <v>1.1100000000000001</v>
      </c>
      <c r="E176">
        <v>0.63</v>
      </c>
      <c r="F176" t="s">
        <v>2744</v>
      </c>
      <c r="G176" s="16">
        <v>4</v>
      </c>
      <c r="H176" s="16">
        <v>1</v>
      </c>
      <c r="I176" s="16">
        <v>1</v>
      </c>
      <c r="J176" s="16">
        <v>0</v>
      </c>
      <c r="K176" s="16">
        <v>0</v>
      </c>
      <c r="L176" s="16">
        <v>0</v>
      </c>
      <c r="M176" s="16">
        <v>1</v>
      </c>
      <c r="N176" s="16">
        <v>1</v>
      </c>
      <c r="O176" s="16">
        <v>0</v>
      </c>
      <c r="P176" t="s">
        <v>2678</v>
      </c>
      <c r="Q176" t="s">
        <v>2745</v>
      </c>
      <c r="R176" s="8" t="s">
        <v>2746</v>
      </c>
    </row>
    <row r="177" spans="1:18" x14ac:dyDescent="0.15">
      <c r="A177" t="s">
        <v>2747</v>
      </c>
      <c r="B177" t="s">
        <v>2672</v>
      </c>
      <c r="D177">
        <v>4.01</v>
      </c>
      <c r="E177">
        <v>1.1000000000000001</v>
      </c>
      <c r="F177" t="s">
        <v>2748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2</v>
      </c>
      <c r="O177" s="16">
        <v>1</v>
      </c>
      <c r="P177" t="s">
        <v>2678</v>
      </c>
      <c r="Q177" t="s">
        <v>2679</v>
      </c>
      <c r="R177" s="8" t="s">
        <v>2749</v>
      </c>
    </row>
    <row r="178" spans="1:18" x14ac:dyDescent="0.15">
      <c r="A178" t="s">
        <v>2625</v>
      </c>
      <c r="B178" t="s">
        <v>2672</v>
      </c>
      <c r="D178">
        <v>3.27</v>
      </c>
      <c r="E178">
        <v>1.04</v>
      </c>
      <c r="F178" t="s">
        <v>2626</v>
      </c>
      <c r="G178" s="16">
        <v>0</v>
      </c>
      <c r="H178" s="16">
        <v>0</v>
      </c>
      <c r="I178" s="16">
        <v>0</v>
      </c>
      <c r="J178" s="16">
        <v>1</v>
      </c>
      <c r="K178" s="16">
        <v>1</v>
      </c>
      <c r="L178" s="16">
        <v>0</v>
      </c>
      <c r="M178" s="16">
        <v>1</v>
      </c>
      <c r="N178" s="16">
        <v>1</v>
      </c>
      <c r="O178" s="16">
        <v>2</v>
      </c>
      <c r="P178" t="s">
        <v>2674</v>
      </c>
      <c r="Q178" t="s">
        <v>2560</v>
      </c>
      <c r="R178" t="s">
        <v>2627</v>
      </c>
    </row>
    <row r="179" spans="1:18" x14ac:dyDescent="0.15">
      <c r="A179" t="s">
        <v>2805</v>
      </c>
      <c r="B179" t="s">
        <v>2672</v>
      </c>
      <c r="D179">
        <v>3.71</v>
      </c>
      <c r="E179">
        <v>1.38</v>
      </c>
      <c r="F179" t="s">
        <v>2806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1</v>
      </c>
      <c r="N179" s="16">
        <v>1</v>
      </c>
      <c r="O179" s="16">
        <v>2</v>
      </c>
      <c r="P179" t="s">
        <v>2807</v>
      </c>
      <c r="Q179" t="s">
        <v>2560</v>
      </c>
      <c r="R179" t="s">
        <v>2808</v>
      </c>
    </row>
    <row r="180" spans="1:18" x14ac:dyDescent="0.15">
      <c r="A180" t="s">
        <v>2818</v>
      </c>
      <c r="B180" t="s">
        <v>2672</v>
      </c>
      <c r="D180">
        <v>1.22</v>
      </c>
      <c r="E180">
        <v>0.28999999999999998</v>
      </c>
      <c r="F180" t="s">
        <v>2819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</v>
      </c>
      <c r="N180" s="16">
        <v>1</v>
      </c>
      <c r="O180" s="16">
        <v>1</v>
      </c>
      <c r="P180" t="s">
        <v>2820</v>
      </c>
      <c r="Q180" t="s">
        <v>2560</v>
      </c>
      <c r="R180" s="8"/>
    </row>
    <row r="181" spans="1:18" x14ac:dyDescent="0.15">
      <c r="A181" t="s">
        <v>2823</v>
      </c>
      <c r="B181" t="s">
        <v>2672</v>
      </c>
      <c r="D181">
        <v>1.67</v>
      </c>
      <c r="E181">
        <v>0.63</v>
      </c>
      <c r="F181" t="s">
        <v>2824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1</v>
      </c>
      <c r="O181" s="16">
        <v>2</v>
      </c>
      <c r="P181" t="s">
        <v>2678</v>
      </c>
      <c r="Q181" t="s">
        <v>2679</v>
      </c>
    </row>
    <row r="182" spans="1:18" x14ac:dyDescent="0.15">
      <c r="A182" t="s">
        <v>2827</v>
      </c>
      <c r="B182" t="s">
        <v>2672</v>
      </c>
      <c r="D182">
        <v>1.47</v>
      </c>
      <c r="E182">
        <v>0.4</v>
      </c>
      <c r="F182" t="s">
        <v>2828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1</v>
      </c>
      <c r="O182" s="16">
        <v>2</v>
      </c>
      <c r="P182" t="s">
        <v>2678</v>
      </c>
      <c r="Q182" t="s">
        <v>2679</v>
      </c>
      <c r="R182" s="9"/>
    </row>
    <row r="183" spans="1:18" x14ac:dyDescent="0.15">
      <c r="A183" t="s">
        <v>2844</v>
      </c>
      <c r="B183" t="s">
        <v>2672</v>
      </c>
      <c r="D183">
        <v>1.55</v>
      </c>
      <c r="E183">
        <v>0.6</v>
      </c>
      <c r="F183" t="s">
        <v>2845</v>
      </c>
      <c r="G183" s="16">
        <v>0</v>
      </c>
      <c r="H183" s="16">
        <v>3</v>
      </c>
      <c r="I183" s="16">
        <v>1</v>
      </c>
      <c r="J183" s="16">
        <v>1</v>
      </c>
      <c r="K183" s="16">
        <v>1</v>
      </c>
      <c r="L183" s="16">
        <v>0</v>
      </c>
      <c r="M183" s="16">
        <v>1</v>
      </c>
      <c r="N183" s="16">
        <v>2</v>
      </c>
      <c r="O183" s="16">
        <v>2</v>
      </c>
      <c r="P183" t="s">
        <v>2678</v>
      </c>
      <c r="Q183" t="s">
        <v>2560</v>
      </c>
      <c r="R183" s="9"/>
    </row>
    <row r="184" spans="1:18" x14ac:dyDescent="0.15">
      <c r="A184" t="s">
        <v>2852</v>
      </c>
      <c r="B184" t="s">
        <v>2672</v>
      </c>
      <c r="D184">
        <v>1.34</v>
      </c>
      <c r="E184">
        <v>0.74</v>
      </c>
      <c r="F184" t="s">
        <v>2853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1</v>
      </c>
      <c r="O184" s="16">
        <v>2</v>
      </c>
      <c r="P184" t="s">
        <v>2678</v>
      </c>
      <c r="Q184" t="s">
        <v>2679</v>
      </c>
      <c r="R184" s="9"/>
    </row>
    <row r="185" spans="1:18" x14ac:dyDescent="0.15">
      <c r="A185" t="s">
        <v>2858</v>
      </c>
      <c r="B185" t="s">
        <v>2672</v>
      </c>
      <c r="D185">
        <v>1.57</v>
      </c>
      <c r="E185">
        <v>0.53</v>
      </c>
      <c r="F185" t="s">
        <v>2859</v>
      </c>
      <c r="G185" s="16">
        <v>0</v>
      </c>
      <c r="H185" s="16">
        <v>4</v>
      </c>
      <c r="I185" s="16">
        <v>1</v>
      </c>
      <c r="J185" s="16">
        <v>0</v>
      </c>
      <c r="K185" s="16">
        <v>0</v>
      </c>
      <c r="L185" s="16">
        <v>0</v>
      </c>
      <c r="M185" s="16">
        <v>0</v>
      </c>
      <c r="N185" s="16">
        <v>1</v>
      </c>
      <c r="O185" s="16">
        <v>2</v>
      </c>
      <c r="P185" t="s">
        <v>2678</v>
      </c>
      <c r="Q185" t="s">
        <v>2679</v>
      </c>
      <c r="R185" s="9"/>
    </row>
    <row r="186" spans="1:18" x14ac:dyDescent="0.15">
      <c r="A186" t="s">
        <v>2862</v>
      </c>
      <c r="B186" t="s">
        <v>2672</v>
      </c>
      <c r="D186">
        <v>2.56</v>
      </c>
      <c r="E186">
        <v>1.18</v>
      </c>
      <c r="F186" t="s">
        <v>2863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2</v>
      </c>
      <c r="O186" s="16">
        <v>2</v>
      </c>
      <c r="P186" t="s">
        <v>2678</v>
      </c>
      <c r="Q186" t="s">
        <v>2679</v>
      </c>
      <c r="R186" s="9"/>
    </row>
    <row r="187" spans="1:18" x14ac:dyDescent="0.15">
      <c r="A187" t="s">
        <v>2681</v>
      </c>
      <c r="B187" t="s">
        <v>2672</v>
      </c>
      <c r="D187">
        <v>0.96</v>
      </c>
      <c r="E187">
        <v>0.28999999999999998</v>
      </c>
      <c r="F187" t="s">
        <v>2682</v>
      </c>
      <c r="G187" s="16">
        <v>0</v>
      </c>
      <c r="H187" s="16">
        <v>1</v>
      </c>
      <c r="I187" s="16">
        <v>1</v>
      </c>
      <c r="J187" s="16">
        <v>2</v>
      </c>
      <c r="K187" s="16">
        <v>1</v>
      </c>
      <c r="L187" s="16">
        <v>0</v>
      </c>
      <c r="M187" s="16">
        <v>1</v>
      </c>
      <c r="N187" s="16">
        <v>2</v>
      </c>
      <c r="O187" s="16">
        <v>2</v>
      </c>
      <c r="P187" t="s">
        <v>2678</v>
      </c>
      <c r="Q187" t="s">
        <v>2560</v>
      </c>
    </row>
    <row r="188" spans="1:18" x14ac:dyDescent="0.15">
      <c r="A188" t="s">
        <v>2683</v>
      </c>
      <c r="B188" t="s">
        <v>2672</v>
      </c>
      <c r="D188">
        <v>1.2</v>
      </c>
      <c r="E188">
        <v>0.37</v>
      </c>
      <c r="F188" t="s">
        <v>2684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1</v>
      </c>
      <c r="N188" s="16">
        <v>1</v>
      </c>
      <c r="O188" s="16">
        <v>2</v>
      </c>
      <c r="P188" t="s">
        <v>2674</v>
      </c>
      <c r="Q188" t="s">
        <v>2560</v>
      </c>
      <c r="R188" s="9"/>
    </row>
    <row r="189" spans="1:18" x14ac:dyDescent="0.15">
      <c r="A189" t="s">
        <v>2914</v>
      </c>
      <c r="B189" t="s">
        <v>2672</v>
      </c>
      <c r="D189">
        <v>3.38</v>
      </c>
      <c r="E189">
        <v>0.97</v>
      </c>
      <c r="F189" t="s">
        <v>2915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</v>
      </c>
      <c r="N189" s="16">
        <v>1</v>
      </c>
      <c r="O189" s="16">
        <v>2</v>
      </c>
      <c r="P189" t="s">
        <v>2678</v>
      </c>
      <c r="Q189" t="s">
        <v>2560</v>
      </c>
      <c r="R189" t="s">
        <v>2916</v>
      </c>
    </row>
    <row r="190" spans="1:18" x14ac:dyDescent="0.15">
      <c r="A190" t="s">
        <v>2773</v>
      </c>
      <c r="B190" t="s">
        <v>2672</v>
      </c>
      <c r="D190">
        <v>3.11</v>
      </c>
      <c r="E190">
        <v>1.1299999999999999</v>
      </c>
      <c r="F190" t="s">
        <v>2774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</v>
      </c>
      <c r="P190" t="s">
        <v>2678</v>
      </c>
      <c r="Q190" t="s">
        <v>2719</v>
      </c>
      <c r="R190" s="9"/>
    </row>
    <row r="191" spans="1:18" x14ac:dyDescent="0.15">
      <c r="A191" t="s">
        <v>2789</v>
      </c>
      <c r="B191" t="s">
        <v>2672</v>
      </c>
      <c r="D191">
        <v>2.64</v>
      </c>
      <c r="E191">
        <v>0.83</v>
      </c>
      <c r="F191" t="s">
        <v>2790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1</v>
      </c>
      <c r="N191" s="16">
        <v>1</v>
      </c>
      <c r="O191" s="16">
        <v>2</v>
      </c>
      <c r="P191" t="s">
        <v>2674</v>
      </c>
      <c r="Q191" t="s">
        <v>2560</v>
      </c>
      <c r="R191" s="9"/>
    </row>
    <row r="192" spans="1:18" x14ac:dyDescent="0.15">
      <c r="A192" t="s">
        <v>2981</v>
      </c>
      <c r="B192" t="s">
        <v>2672</v>
      </c>
      <c r="D192">
        <v>1.1299999999999999</v>
      </c>
      <c r="E192">
        <v>0.42</v>
      </c>
      <c r="F192" t="s">
        <v>2982</v>
      </c>
      <c r="G192" s="16">
        <v>0</v>
      </c>
      <c r="H192" s="16">
        <v>2</v>
      </c>
      <c r="I192" s="16">
        <v>1</v>
      </c>
      <c r="J192" s="16">
        <v>0</v>
      </c>
      <c r="K192" s="16">
        <v>0</v>
      </c>
      <c r="L192" s="16">
        <v>0</v>
      </c>
      <c r="M192" s="16">
        <v>1</v>
      </c>
      <c r="N192" s="16">
        <v>1</v>
      </c>
      <c r="O192" s="16">
        <v>2</v>
      </c>
      <c r="P192" t="s">
        <v>2678</v>
      </c>
      <c r="Q192" t="s">
        <v>2675</v>
      </c>
      <c r="R192" t="s">
        <v>2983</v>
      </c>
    </row>
    <row r="193" spans="1:18" x14ac:dyDescent="0.15">
      <c r="A193" t="s">
        <v>2989</v>
      </c>
      <c r="B193" t="s">
        <v>2672</v>
      </c>
      <c r="D193">
        <v>2.2000000000000002</v>
      </c>
      <c r="E193">
        <v>1</v>
      </c>
      <c r="F193" t="s">
        <v>2990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1</v>
      </c>
      <c r="N193" s="16">
        <v>1</v>
      </c>
      <c r="O193" s="16">
        <v>2</v>
      </c>
      <c r="P193" t="s">
        <v>2678</v>
      </c>
      <c r="Q193" t="s">
        <v>2560</v>
      </c>
      <c r="R193" s="9"/>
    </row>
    <row r="194" spans="1:18" x14ac:dyDescent="0.15">
      <c r="A194" t="s">
        <v>2994</v>
      </c>
      <c r="B194" t="s">
        <v>2672</v>
      </c>
      <c r="D194">
        <v>2.27</v>
      </c>
      <c r="E194">
        <v>0.85</v>
      </c>
      <c r="F194" t="s">
        <v>2995</v>
      </c>
      <c r="G194" s="16">
        <v>0</v>
      </c>
      <c r="H194" s="16">
        <v>2</v>
      </c>
      <c r="I194" s="16">
        <v>1</v>
      </c>
      <c r="J194" s="16">
        <v>0</v>
      </c>
      <c r="K194" s="16">
        <v>0</v>
      </c>
      <c r="L194" s="16">
        <v>0</v>
      </c>
      <c r="M194" s="16">
        <v>1</v>
      </c>
      <c r="N194" s="16">
        <v>1</v>
      </c>
      <c r="O194" s="16">
        <v>2</v>
      </c>
      <c r="P194" t="s">
        <v>2674</v>
      </c>
      <c r="Q194" t="s">
        <v>2560</v>
      </c>
      <c r="R194" t="s">
        <v>2996</v>
      </c>
    </row>
    <row r="195" spans="1:18" x14ac:dyDescent="0.15">
      <c r="A195" t="s">
        <v>2997</v>
      </c>
      <c r="B195" t="s">
        <v>2672</v>
      </c>
      <c r="D195">
        <v>3.72</v>
      </c>
      <c r="E195">
        <v>0.42</v>
      </c>
      <c r="F195" t="s">
        <v>2998</v>
      </c>
      <c r="G195" s="16">
        <v>0</v>
      </c>
      <c r="H195" s="16">
        <v>1</v>
      </c>
      <c r="I195" s="16">
        <v>2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t="s">
        <v>2674</v>
      </c>
      <c r="Q195" t="s">
        <v>2674</v>
      </c>
      <c r="R195" t="s">
        <v>2999</v>
      </c>
    </row>
    <row r="196" spans="1:18" x14ac:dyDescent="0.15">
      <c r="A196" t="s">
        <v>2882</v>
      </c>
      <c r="B196" t="s">
        <v>2672</v>
      </c>
      <c r="D196">
        <v>1.8</v>
      </c>
      <c r="E196">
        <v>0.63</v>
      </c>
      <c r="F196" t="s">
        <v>2883</v>
      </c>
      <c r="G196" s="16">
        <v>2</v>
      </c>
      <c r="H196" s="16">
        <v>1</v>
      </c>
      <c r="I196" s="16">
        <v>1</v>
      </c>
      <c r="J196" s="16">
        <v>0</v>
      </c>
      <c r="K196" s="16">
        <v>0</v>
      </c>
      <c r="L196" s="16">
        <v>0</v>
      </c>
      <c r="M196" s="16">
        <v>0</v>
      </c>
      <c r="N196" s="16">
        <v>1</v>
      </c>
      <c r="O196" s="16">
        <v>2</v>
      </c>
      <c r="P196" t="s">
        <v>2678</v>
      </c>
      <c r="Q196" t="s">
        <v>2794</v>
      </c>
      <c r="R196" s="9"/>
    </row>
    <row r="197" spans="1:18" x14ac:dyDescent="0.15">
      <c r="A197" t="s">
        <v>2884</v>
      </c>
      <c r="B197" t="s">
        <v>2672</v>
      </c>
      <c r="D197">
        <v>2.29</v>
      </c>
      <c r="E197">
        <v>0.51</v>
      </c>
      <c r="F197" t="s">
        <v>2885</v>
      </c>
      <c r="G197" s="16">
        <v>0</v>
      </c>
      <c r="H197" s="16">
        <v>4</v>
      </c>
      <c r="I197" s="16">
        <v>2</v>
      </c>
      <c r="J197" s="16">
        <v>0</v>
      </c>
      <c r="K197" s="16">
        <v>0</v>
      </c>
      <c r="L197" s="16">
        <v>0</v>
      </c>
      <c r="M197" s="16">
        <v>1</v>
      </c>
      <c r="N197" s="16">
        <v>2</v>
      </c>
      <c r="O197" s="16">
        <v>1</v>
      </c>
      <c r="P197" t="s">
        <v>2678</v>
      </c>
      <c r="Q197" t="s">
        <v>2560</v>
      </c>
      <c r="R197" s="8" t="s">
        <v>2886</v>
      </c>
    </row>
    <row r="198" spans="1:18" x14ac:dyDescent="0.15">
      <c r="A198" t="s">
        <v>2750</v>
      </c>
      <c r="B198" t="s">
        <v>2751</v>
      </c>
      <c r="C198" t="s">
        <v>2670</v>
      </c>
      <c r="D198">
        <v>2.0499999999999998</v>
      </c>
      <c r="E198">
        <v>0.75</v>
      </c>
      <c r="F198" t="s">
        <v>2752</v>
      </c>
      <c r="G198" s="16">
        <v>2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1</v>
      </c>
      <c r="O198" s="16">
        <v>2</v>
      </c>
      <c r="P198" t="s">
        <v>2678</v>
      </c>
      <c r="Q198" t="s">
        <v>2753</v>
      </c>
      <c r="R198" s="8" t="s">
        <v>2754</v>
      </c>
    </row>
    <row r="199" spans="1:18" x14ac:dyDescent="0.15">
      <c r="A199" t="s">
        <v>1448</v>
      </c>
      <c r="B199" t="s">
        <v>1771</v>
      </c>
      <c r="C199" t="s">
        <v>2655</v>
      </c>
      <c r="D199">
        <v>2.1</v>
      </c>
      <c r="E199">
        <v>0.92</v>
      </c>
      <c r="F199" t="s">
        <v>1449</v>
      </c>
      <c r="G199" s="16">
        <v>0</v>
      </c>
      <c r="H199" s="16">
        <v>1</v>
      </c>
      <c r="I199" s="16">
        <v>1</v>
      </c>
      <c r="J199" s="16">
        <v>0</v>
      </c>
      <c r="K199" s="16">
        <v>0</v>
      </c>
      <c r="L199" s="16">
        <v>0</v>
      </c>
      <c r="M199" s="16">
        <v>1</v>
      </c>
      <c r="N199" s="16">
        <v>2</v>
      </c>
      <c r="O199" s="16">
        <v>2</v>
      </c>
      <c r="P199" t="s">
        <v>1450</v>
      </c>
      <c r="Q199" t="s">
        <v>1451</v>
      </c>
    </row>
    <row r="200" spans="1:18" x14ac:dyDescent="0.15">
      <c r="A200" t="s">
        <v>2961</v>
      </c>
      <c r="B200" t="s">
        <v>2962</v>
      </c>
      <c r="C200" t="s">
        <v>2656</v>
      </c>
      <c r="D200">
        <v>3.03</v>
      </c>
      <c r="E200">
        <v>1.47</v>
      </c>
      <c r="F200" t="s">
        <v>2963</v>
      </c>
      <c r="G200" s="16">
        <v>3</v>
      </c>
      <c r="H200" s="16">
        <v>5</v>
      </c>
      <c r="I200" s="16">
        <v>4</v>
      </c>
      <c r="J200" s="16">
        <v>0</v>
      </c>
      <c r="K200" s="16">
        <v>0</v>
      </c>
      <c r="L200" s="16">
        <v>0</v>
      </c>
      <c r="M200" s="16">
        <v>1</v>
      </c>
      <c r="N200" s="16">
        <v>2</v>
      </c>
      <c r="O200" s="16">
        <v>1</v>
      </c>
      <c r="P200" t="s">
        <v>2674</v>
      </c>
      <c r="Q200" t="s">
        <v>2564</v>
      </c>
      <c r="R200" s="9"/>
    </row>
    <row r="201" spans="1:18" x14ac:dyDescent="0.15">
      <c r="A201" t="s">
        <v>2889</v>
      </c>
      <c r="B201" t="s">
        <v>2890</v>
      </c>
      <c r="C201" t="s">
        <v>2656</v>
      </c>
      <c r="D201">
        <v>1.71</v>
      </c>
      <c r="E201">
        <v>1.94</v>
      </c>
      <c r="F201" t="s">
        <v>2891</v>
      </c>
      <c r="G201" s="16">
        <v>3</v>
      </c>
      <c r="H201" s="16">
        <v>0</v>
      </c>
      <c r="I201" s="16">
        <v>0</v>
      </c>
      <c r="J201" s="16">
        <v>0</v>
      </c>
      <c r="K201" s="16">
        <v>0</v>
      </c>
      <c r="L201" s="16">
        <v>2</v>
      </c>
      <c r="M201" s="16">
        <v>1</v>
      </c>
      <c r="N201" s="16">
        <v>1</v>
      </c>
      <c r="O201" s="16">
        <v>0</v>
      </c>
      <c r="P201" t="s">
        <v>2938</v>
      </c>
      <c r="Q201" t="s">
        <v>2892</v>
      </c>
      <c r="R201" s="9"/>
    </row>
    <row r="202" spans="1:18" x14ac:dyDescent="0.15">
      <c r="A202" t="s">
        <v>1544</v>
      </c>
      <c r="B202" t="s">
        <v>1545</v>
      </c>
      <c r="C202" t="s">
        <v>2661</v>
      </c>
      <c r="D202">
        <v>8.42</v>
      </c>
      <c r="E202">
        <v>3</v>
      </c>
      <c r="F202" t="s">
        <v>1465</v>
      </c>
      <c r="G202" s="16">
        <v>2</v>
      </c>
      <c r="H202" s="16">
        <v>4</v>
      </c>
      <c r="I202" s="16">
        <v>2</v>
      </c>
      <c r="J202" s="16">
        <v>0</v>
      </c>
      <c r="K202" s="16">
        <v>0</v>
      </c>
      <c r="L202" s="16">
        <v>0</v>
      </c>
      <c r="M202" s="16">
        <v>1</v>
      </c>
      <c r="N202" s="16">
        <v>1</v>
      </c>
      <c r="O202" s="16">
        <v>1</v>
      </c>
      <c r="P202" t="s">
        <v>1372</v>
      </c>
      <c r="Q202" t="s">
        <v>1373</v>
      </c>
      <c r="R202" s="8"/>
    </row>
    <row r="203" spans="1:18" x14ac:dyDescent="0.15">
      <c r="A203" t="s">
        <v>1366</v>
      </c>
      <c r="B203" t="s">
        <v>1367</v>
      </c>
      <c r="C203" t="s">
        <v>2661</v>
      </c>
      <c r="D203">
        <v>3.96</v>
      </c>
      <c r="E203">
        <v>1.59</v>
      </c>
      <c r="F203" t="s">
        <v>1368</v>
      </c>
      <c r="G203" s="16">
        <v>0</v>
      </c>
      <c r="H203" s="16">
        <v>1</v>
      </c>
      <c r="I203" s="16">
        <v>3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t="s">
        <v>1369</v>
      </c>
      <c r="Q203" t="s">
        <v>1462</v>
      </c>
      <c r="R203" s="8" t="s">
        <v>1590</v>
      </c>
    </row>
    <row r="204" spans="1:18" x14ac:dyDescent="0.15">
      <c r="A204" t="s">
        <v>1205</v>
      </c>
      <c r="B204" t="s">
        <v>1206</v>
      </c>
      <c r="C204" t="s">
        <v>2661</v>
      </c>
      <c r="D204">
        <v>13.33</v>
      </c>
      <c r="E204">
        <v>3.92</v>
      </c>
      <c r="F204" t="s">
        <v>1213</v>
      </c>
      <c r="G204" s="16">
        <v>2</v>
      </c>
      <c r="H204" s="16">
        <v>4</v>
      </c>
      <c r="I204" s="16">
        <v>4</v>
      </c>
      <c r="J204" s="16">
        <v>2</v>
      </c>
      <c r="K204" s="16">
        <v>2</v>
      </c>
      <c r="L204" s="16">
        <v>1</v>
      </c>
      <c r="M204" s="16">
        <v>2</v>
      </c>
      <c r="N204" s="16">
        <v>2</v>
      </c>
      <c r="O204" s="16">
        <v>2</v>
      </c>
      <c r="P204" t="s">
        <v>1254</v>
      </c>
      <c r="Q204" t="s">
        <v>1214</v>
      </c>
      <c r="R204" t="s">
        <v>1009</v>
      </c>
    </row>
    <row r="205" spans="1:18" x14ac:dyDescent="0.15">
      <c r="A205" t="s">
        <v>1291</v>
      </c>
      <c r="B205" t="s">
        <v>1418</v>
      </c>
      <c r="C205" t="s">
        <v>2668</v>
      </c>
      <c r="D205">
        <v>15.44</v>
      </c>
      <c r="E205">
        <v>4.58</v>
      </c>
      <c r="F205" t="s">
        <v>1185</v>
      </c>
      <c r="G205" s="16">
        <v>3</v>
      </c>
      <c r="H205" s="16">
        <v>2</v>
      </c>
      <c r="I205" s="16">
        <v>2</v>
      </c>
      <c r="J205" s="16">
        <v>0</v>
      </c>
      <c r="K205" s="16">
        <v>0</v>
      </c>
      <c r="L205" s="16">
        <v>0</v>
      </c>
      <c r="M205" s="16">
        <v>2</v>
      </c>
      <c r="N205" s="16">
        <v>2</v>
      </c>
      <c r="O205" s="16">
        <v>2</v>
      </c>
      <c r="P205" t="s">
        <v>814</v>
      </c>
      <c r="Q205" t="s">
        <v>1186</v>
      </c>
      <c r="R205" s="8" t="s">
        <v>813</v>
      </c>
    </row>
    <row r="206" spans="1:18" x14ac:dyDescent="0.15">
      <c r="A206" t="s">
        <v>1220</v>
      </c>
      <c r="B206" t="s">
        <v>1124</v>
      </c>
      <c r="C206" t="s">
        <v>2661</v>
      </c>
      <c r="D206">
        <v>6.25</v>
      </c>
      <c r="E206">
        <v>3.93</v>
      </c>
      <c r="F206" t="s">
        <v>1125</v>
      </c>
      <c r="G206" s="16">
        <v>3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t="s">
        <v>1441</v>
      </c>
      <c r="Q206" t="s">
        <v>1126</v>
      </c>
    </row>
    <row r="207" spans="1:18" x14ac:dyDescent="0.15">
      <c r="A207" t="s">
        <v>2897</v>
      </c>
      <c r="B207" t="s">
        <v>2898</v>
      </c>
      <c r="C207" t="s">
        <v>2654</v>
      </c>
      <c r="D207">
        <v>1.17</v>
      </c>
      <c r="E207">
        <v>0.56999999999999995</v>
      </c>
      <c r="F207" t="s">
        <v>2899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2</v>
      </c>
      <c r="O207" s="16">
        <v>2</v>
      </c>
      <c r="P207" t="s">
        <v>2678</v>
      </c>
      <c r="Q207" t="s">
        <v>2679</v>
      </c>
      <c r="R207" s="9"/>
    </row>
    <row r="208" spans="1:18" x14ac:dyDescent="0.15">
      <c r="A208" t="s">
        <v>1420</v>
      </c>
      <c r="B208" t="s">
        <v>1421</v>
      </c>
      <c r="C208" t="s">
        <v>2655</v>
      </c>
      <c r="D208">
        <v>4.33</v>
      </c>
      <c r="E208">
        <v>1.02</v>
      </c>
      <c r="F208" t="s">
        <v>1234</v>
      </c>
      <c r="G208" s="16">
        <v>0</v>
      </c>
      <c r="H208" s="16">
        <v>4</v>
      </c>
      <c r="I208" s="16">
        <v>1</v>
      </c>
      <c r="J208" s="16">
        <v>0</v>
      </c>
      <c r="K208" s="16">
        <v>0</v>
      </c>
      <c r="L208" s="16">
        <v>1</v>
      </c>
      <c r="M208" s="16">
        <v>1</v>
      </c>
      <c r="N208" s="16">
        <v>3</v>
      </c>
      <c r="O208" s="16">
        <v>2</v>
      </c>
      <c r="P208" t="s">
        <v>978</v>
      </c>
      <c r="Q208" t="s">
        <v>979</v>
      </c>
    </row>
    <row r="209" spans="1:18" x14ac:dyDescent="0.15">
      <c r="A209" t="s">
        <v>1307</v>
      </c>
      <c r="B209" t="s">
        <v>1831</v>
      </c>
      <c r="C209" t="s">
        <v>2655</v>
      </c>
      <c r="D209">
        <v>2.94</v>
      </c>
      <c r="E209">
        <v>1.06</v>
      </c>
      <c r="F209" t="s">
        <v>1308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2</v>
      </c>
      <c r="O209" s="16">
        <v>2</v>
      </c>
      <c r="P209" t="s">
        <v>978</v>
      </c>
      <c r="Q209" t="s">
        <v>1412</v>
      </c>
      <c r="R209" s="8"/>
    </row>
    <row r="210" spans="1:18" x14ac:dyDescent="0.15">
      <c r="A210" t="s">
        <v>1549</v>
      </c>
      <c r="B210" t="s">
        <v>1550</v>
      </c>
      <c r="C210" t="s">
        <v>2655</v>
      </c>
      <c r="D210">
        <v>2.66</v>
      </c>
      <c r="E210">
        <v>0.85</v>
      </c>
      <c r="F210" t="s">
        <v>1551</v>
      </c>
      <c r="G210" s="16">
        <v>0</v>
      </c>
      <c r="H210" s="16">
        <v>1</v>
      </c>
      <c r="I210" s="16">
        <v>1</v>
      </c>
      <c r="J210" s="16">
        <v>0</v>
      </c>
      <c r="K210" s="16">
        <v>0</v>
      </c>
      <c r="L210" s="16">
        <v>1</v>
      </c>
      <c r="M210" s="16">
        <v>1</v>
      </c>
      <c r="N210" s="16">
        <v>2</v>
      </c>
      <c r="O210" s="16">
        <v>2</v>
      </c>
      <c r="P210" t="s">
        <v>1381</v>
      </c>
      <c r="Q210" t="s">
        <v>1468</v>
      </c>
    </row>
    <row r="211" spans="1:18" x14ac:dyDescent="0.15">
      <c r="A211" t="s">
        <v>1201</v>
      </c>
      <c r="B211" t="s">
        <v>1202</v>
      </c>
      <c r="C211" t="s">
        <v>2660</v>
      </c>
      <c r="D211">
        <v>2.72</v>
      </c>
      <c r="E211">
        <v>0.86</v>
      </c>
      <c r="F211" t="s">
        <v>1301</v>
      </c>
      <c r="G211" s="16">
        <v>0</v>
      </c>
      <c r="H211" s="16">
        <v>0</v>
      </c>
      <c r="I211" s="16">
        <v>0</v>
      </c>
      <c r="J211" s="16">
        <v>1</v>
      </c>
      <c r="K211" s="16">
        <v>1</v>
      </c>
      <c r="L211" s="16">
        <v>0</v>
      </c>
      <c r="M211" s="16">
        <v>1</v>
      </c>
      <c r="N211" s="16">
        <v>2</v>
      </c>
      <c r="O211" s="16">
        <v>3</v>
      </c>
      <c r="P211" t="s">
        <v>1302</v>
      </c>
      <c r="Q211" t="s">
        <v>1451</v>
      </c>
    </row>
    <row r="212" spans="1:18" x14ac:dyDescent="0.15">
      <c r="A212" t="s">
        <v>2722</v>
      </c>
      <c r="B212" t="s">
        <v>2723</v>
      </c>
      <c r="C212" t="s">
        <v>2654</v>
      </c>
      <c r="D212">
        <v>4.41</v>
      </c>
      <c r="E212">
        <v>1.07</v>
      </c>
      <c r="F212" t="s">
        <v>2724</v>
      </c>
      <c r="G212" s="16">
        <v>0</v>
      </c>
      <c r="H212" s="16">
        <v>4</v>
      </c>
      <c r="I212" s="16">
        <v>1</v>
      </c>
      <c r="J212" s="16">
        <v>0</v>
      </c>
      <c r="K212" s="16">
        <v>0</v>
      </c>
      <c r="L212" s="16">
        <v>0</v>
      </c>
      <c r="M212" s="16">
        <v>1</v>
      </c>
      <c r="N212" s="16">
        <v>3</v>
      </c>
      <c r="O212" s="16">
        <v>2</v>
      </c>
      <c r="P212" t="s">
        <v>2678</v>
      </c>
      <c r="Q212" t="s">
        <v>2560</v>
      </c>
      <c r="R212" s="9"/>
    </row>
    <row r="213" spans="1:18" x14ac:dyDescent="0.15">
      <c r="A213" t="s">
        <v>2860</v>
      </c>
      <c r="B213" t="s">
        <v>2723</v>
      </c>
      <c r="C213" t="s">
        <v>2654</v>
      </c>
      <c r="D213">
        <v>2.67</v>
      </c>
      <c r="E213">
        <v>0.86</v>
      </c>
      <c r="F213" t="s">
        <v>2861</v>
      </c>
      <c r="G213" s="16">
        <v>0</v>
      </c>
      <c r="H213" s="16">
        <v>2</v>
      </c>
      <c r="I213" s="16">
        <v>1</v>
      </c>
      <c r="J213" s="16">
        <v>0</v>
      </c>
      <c r="K213" s="16">
        <v>0</v>
      </c>
      <c r="L213" s="16">
        <v>0</v>
      </c>
      <c r="M213" s="16">
        <v>1</v>
      </c>
      <c r="N213" s="16">
        <v>2</v>
      </c>
      <c r="O213" s="16">
        <v>2</v>
      </c>
      <c r="P213" t="s">
        <v>2678</v>
      </c>
      <c r="Q213" t="s">
        <v>2560</v>
      </c>
    </row>
    <row r="214" spans="1:18" x14ac:dyDescent="0.15">
      <c r="A214" t="s">
        <v>1509</v>
      </c>
      <c r="B214" t="s">
        <v>1510</v>
      </c>
      <c r="C214" t="s">
        <v>2655</v>
      </c>
      <c r="D214">
        <v>3.57</v>
      </c>
      <c r="E214">
        <v>1.1499999999999999</v>
      </c>
      <c r="F214" t="s">
        <v>1419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3</v>
      </c>
      <c r="O214" s="16">
        <v>2</v>
      </c>
      <c r="P214" t="s">
        <v>978</v>
      </c>
      <c r="Q214" t="s">
        <v>1412</v>
      </c>
      <c r="R214" s="8"/>
    </row>
    <row r="215" spans="1:18" x14ac:dyDescent="0.15">
      <c r="A215" t="s">
        <v>2974</v>
      </c>
      <c r="B215" t="s">
        <v>2975</v>
      </c>
      <c r="C215" t="s">
        <v>2654</v>
      </c>
      <c r="D215">
        <v>2.29</v>
      </c>
      <c r="E215">
        <v>0.96</v>
      </c>
      <c r="F215" t="s">
        <v>2976</v>
      </c>
      <c r="G215" s="16">
        <v>0</v>
      </c>
      <c r="H215" s="16">
        <v>0</v>
      </c>
      <c r="I215" s="16">
        <v>0</v>
      </c>
      <c r="J215" s="16">
        <v>1</v>
      </c>
      <c r="K215" s="16">
        <v>1</v>
      </c>
      <c r="L215" s="16">
        <v>0</v>
      </c>
      <c r="M215" s="16">
        <v>1</v>
      </c>
      <c r="N215" s="16">
        <v>2</v>
      </c>
      <c r="O215" s="16">
        <v>2</v>
      </c>
      <c r="P215" t="s">
        <v>2807</v>
      </c>
      <c r="Q215" t="s">
        <v>2560</v>
      </c>
      <c r="R215" s="9"/>
    </row>
    <row r="216" spans="1:18" x14ac:dyDescent="0.15">
      <c r="A216" t="s">
        <v>1422</v>
      </c>
      <c r="B216" t="s">
        <v>1423</v>
      </c>
      <c r="C216" t="s">
        <v>2666</v>
      </c>
      <c r="D216">
        <v>1.27</v>
      </c>
      <c r="E216">
        <v>0.39</v>
      </c>
      <c r="F216" t="s">
        <v>1424</v>
      </c>
      <c r="G216" s="16">
        <v>0</v>
      </c>
      <c r="H216" s="16">
        <v>4</v>
      </c>
      <c r="I216" s="16">
        <v>1</v>
      </c>
      <c r="J216" s="16">
        <v>0</v>
      </c>
      <c r="K216" s="16">
        <v>0</v>
      </c>
      <c r="L216" s="16">
        <v>0</v>
      </c>
      <c r="M216" s="16">
        <v>1</v>
      </c>
      <c r="N216" s="16">
        <v>1</v>
      </c>
      <c r="O216" s="16">
        <v>2</v>
      </c>
      <c r="P216" t="s">
        <v>1425</v>
      </c>
      <c r="Q216" t="s">
        <v>1426</v>
      </c>
    </row>
    <row r="217" spans="1:18" x14ac:dyDescent="0.15">
      <c r="A217" t="s">
        <v>2566</v>
      </c>
      <c r="B217" t="s">
        <v>2665</v>
      </c>
      <c r="C217" t="s">
        <v>2665</v>
      </c>
      <c r="D217">
        <v>1.45</v>
      </c>
      <c r="E217">
        <v>0.43</v>
      </c>
      <c r="F217" t="s">
        <v>2567</v>
      </c>
      <c r="G217" s="16">
        <v>2</v>
      </c>
      <c r="H217" s="16">
        <v>4</v>
      </c>
      <c r="I217" s="16">
        <v>1</v>
      </c>
      <c r="J217" s="16">
        <v>0</v>
      </c>
      <c r="K217" s="16">
        <v>0</v>
      </c>
      <c r="L217" s="16">
        <v>0</v>
      </c>
      <c r="M217" s="16">
        <v>1</v>
      </c>
      <c r="N217" s="16">
        <v>3</v>
      </c>
      <c r="O217" s="16">
        <v>2</v>
      </c>
      <c r="P217" t="s">
        <v>2678</v>
      </c>
      <c r="Q217" t="s">
        <v>2564</v>
      </c>
      <c r="R217" t="s">
        <v>2568</v>
      </c>
    </row>
    <row r="218" spans="1:18" x14ac:dyDescent="0.15">
      <c r="A218" t="s">
        <v>1427</v>
      </c>
      <c r="B218" t="s">
        <v>1359</v>
      </c>
      <c r="C218" t="s">
        <v>2666</v>
      </c>
      <c r="D218">
        <v>0.86</v>
      </c>
      <c r="E218">
        <v>0.3</v>
      </c>
      <c r="F218" t="s">
        <v>1360</v>
      </c>
      <c r="G218" s="16">
        <v>0</v>
      </c>
      <c r="H218" s="16">
        <v>2</v>
      </c>
      <c r="I218" s="16">
        <v>1</v>
      </c>
      <c r="J218" s="16">
        <v>2</v>
      </c>
      <c r="K218" s="16">
        <v>1</v>
      </c>
      <c r="L218" s="16">
        <v>0</v>
      </c>
      <c r="M218" s="16">
        <v>1</v>
      </c>
      <c r="N218" s="16">
        <v>2</v>
      </c>
      <c r="O218" s="16">
        <v>2</v>
      </c>
      <c r="P218" t="s">
        <v>1425</v>
      </c>
      <c r="Q218" t="s">
        <v>1426</v>
      </c>
    </row>
    <row r="219" spans="1:18" x14ac:dyDescent="0.15">
      <c r="A219" t="s">
        <v>1346</v>
      </c>
      <c r="B219" t="s">
        <v>1347</v>
      </c>
      <c r="C219" t="s">
        <v>2666</v>
      </c>
      <c r="D219">
        <v>1.19</v>
      </c>
      <c r="E219">
        <v>0.35</v>
      </c>
      <c r="F219" t="s">
        <v>1348</v>
      </c>
      <c r="G219" s="16">
        <v>0</v>
      </c>
      <c r="H219" s="16">
        <v>4</v>
      </c>
      <c r="I219" s="16">
        <v>1</v>
      </c>
      <c r="J219" s="16">
        <v>0</v>
      </c>
      <c r="K219" s="16">
        <v>0</v>
      </c>
      <c r="L219" s="16">
        <v>0</v>
      </c>
      <c r="M219" s="16">
        <v>1</v>
      </c>
      <c r="N219" s="16">
        <v>1</v>
      </c>
      <c r="O219" s="16">
        <v>2</v>
      </c>
      <c r="P219" t="s">
        <v>1372</v>
      </c>
      <c r="Q219" t="s">
        <v>1373</v>
      </c>
      <c r="R219" s="8"/>
    </row>
    <row r="220" spans="1:18" x14ac:dyDescent="0.15">
      <c r="A220" t="s">
        <v>2728</v>
      </c>
      <c r="B220" t="s">
        <v>2729</v>
      </c>
      <c r="C220" t="s">
        <v>2665</v>
      </c>
      <c r="D220">
        <v>1.3</v>
      </c>
      <c r="E220">
        <v>0.42</v>
      </c>
      <c r="F220" t="s">
        <v>2730</v>
      </c>
      <c r="G220" s="16">
        <v>0</v>
      </c>
      <c r="H220" s="16">
        <v>1</v>
      </c>
      <c r="I220" s="16">
        <v>1</v>
      </c>
      <c r="J220" s="16">
        <v>0</v>
      </c>
      <c r="K220" s="16">
        <v>0</v>
      </c>
      <c r="L220" s="16">
        <v>0</v>
      </c>
      <c r="M220" s="16">
        <v>1</v>
      </c>
      <c r="N220" s="16">
        <v>2</v>
      </c>
      <c r="O220" s="16">
        <v>2</v>
      </c>
      <c r="P220" t="s">
        <v>2678</v>
      </c>
      <c r="Q220" t="s">
        <v>2560</v>
      </c>
      <c r="R220" s="9"/>
    </row>
    <row r="221" spans="1:18" x14ac:dyDescent="0.15">
      <c r="A221" t="s">
        <v>2873</v>
      </c>
      <c r="B221" t="s">
        <v>2729</v>
      </c>
      <c r="C221" t="s">
        <v>2665</v>
      </c>
      <c r="D221">
        <v>1.63</v>
      </c>
      <c r="E221">
        <v>0.57999999999999996</v>
      </c>
      <c r="F221" t="s">
        <v>2874</v>
      </c>
      <c r="G221" s="16">
        <v>3</v>
      </c>
      <c r="H221" s="16">
        <v>3</v>
      </c>
      <c r="I221" s="16">
        <v>2</v>
      </c>
      <c r="J221" s="16">
        <v>0</v>
      </c>
      <c r="K221" s="16">
        <v>0</v>
      </c>
      <c r="L221" s="16">
        <v>0</v>
      </c>
      <c r="M221" s="16">
        <v>0</v>
      </c>
      <c r="N221" s="16">
        <v>1</v>
      </c>
      <c r="O221" s="16">
        <v>2</v>
      </c>
      <c r="P221" t="s">
        <v>2820</v>
      </c>
      <c r="Q221" t="s">
        <v>2794</v>
      </c>
      <c r="R221" t="s">
        <v>2875</v>
      </c>
    </row>
    <row r="222" spans="1:18" x14ac:dyDescent="0.15">
      <c r="A222" t="s">
        <v>2909</v>
      </c>
      <c r="B222" t="s">
        <v>2910</v>
      </c>
      <c r="C222" t="s">
        <v>2656</v>
      </c>
      <c r="D222">
        <v>10.88</v>
      </c>
      <c r="E222">
        <v>1.38</v>
      </c>
      <c r="F222" t="s">
        <v>2911</v>
      </c>
      <c r="G222" s="16">
        <v>3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1</v>
      </c>
      <c r="O222" s="16">
        <v>2</v>
      </c>
      <c r="P222" t="s">
        <v>2678</v>
      </c>
      <c r="Q222" t="s">
        <v>2794</v>
      </c>
      <c r="R222" s="9"/>
    </row>
    <row r="223" spans="1:18" x14ac:dyDescent="0.15">
      <c r="A223" t="s">
        <v>2971</v>
      </c>
      <c r="B223" t="s">
        <v>2910</v>
      </c>
      <c r="C223" t="s">
        <v>2656</v>
      </c>
      <c r="D223">
        <v>5.37</v>
      </c>
      <c r="E223">
        <v>0.8</v>
      </c>
      <c r="F223" t="s">
        <v>2972</v>
      </c>
      <c r="G223" s="16">
        <v>2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2</v>
      </c>
      <c r="O223" s="16">
        <v>2</v>
      </c>
      <c r="P223" t="s">
        <v>2678</v>
      </c>
      <c r="Q223" t="s">
        <v>2794</v>
      </c>
      <c r="R223" t="s">
        <v>2973</v>
      </c>
    </row>
    <row r="224" spans="1:18" x14ac:dyDescent="0.15">
      <c r="A224" t="s">
        <v>2987</v>
      </c>
      <c r="B224" t="s">
        <v>2910</v>
      </c>
      <c r="C224" t="s">
        <v>2656</v>
      </c>
      <c r="D224">
        <v>7.48</v>
      </c>
      <c r="E224">
        <v>1.48</v>
      </c>
      <c r="F224" t="s">
        <v>2988</v>
      </c>
      <c r="G224" s="16">
        <v>0</v>
      </c>
      <c r="H224" s="16">
        <v>0</v>
      </c>
      <c r="I224" s="16">
        <v>0</v>
      </c>
      <c r="J224" s="16">
        <v>2</v>
      </c>
      <c r="K224" s="16">
        <v>1</v>
      </c>
      <c r="L224" s="16">
        <v>0</v>
      </c>
      <c r="M224" s="16">
        <v>1</v>
      </c>
      <c r="N224" s="16">
        <v>1</v>
      </c>
      <c r="O224" s="16">
        <v>2</v>
      </c>
      <c r="P224" t="s">
        <v>2678</v>
      </c>
      <c r="Q224" t="s">
        <v>2560</v>
      </c>
      <c r="R224" s="9"/>
    </row>
    <row r="225" spans="1:18" x14ac:dyDescent="0.15">
      <c r="A225" t="s">
        <v>3002</v>
      </c>
      <c r="B225" t="s">
        <v>2910</v>
      </c>
      <c r="C225" t="s">
        <v>2656</v>
      </c>
      <c r="D225">
        <v>5.53</v>
      </c>
      <c r="E225">
        <v>0.99</v>
      </c>
      <c r="F225" t="s">
        <v>3003</v>
      </c>
      <c r="G225" s="16">
        <v>0</v>
      </c>
      <c r="H225" s="16">
        <v>1</v>
      </c>
      <c r="I225" s="16">
        <v>1</v>
      </c>
      <c r="J225" s="16">
        <v>1</v>
      </c>
      <c r="K225" s="16">
        <v>1</v>
      </c>
      <c r="L225" s="16">
        <v>0</v>
      </c>
      <c r="M225" s="16">
        <v>1</v>
      </c>
      <c r="N225" s="16">
        <v>2</v>
      </c>
      <c r="O225" s="16">
        <v>2</v>
      </c>
      <c r="P225" t="s">
        <v>2678</v>
      </c>
      <c r="Q225" t="s">
        <v>2560</v>
      </c>
      <c r="R225" t="s">
        <v>3004</v>
      </c>
    </row>
    <row r="226" spans="1:18" x14ac:dyDescent="0.15">
      <c r="A226" t="s">
        <v>2876</v>
      </c>
      <c r="B226" t="s">
        <v>2910</v>
      </c>
      <c r="C226" t="s">
        <v>2656</v>
      </c>
      <c r="D226">
        <v>4.9800000000000004</v>
      </c>
      <c r="E226">
        <v>1.1399999999999999</v>
      </c>
      <c r="F226" t="s">
        <v>2877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1</v>
      </c>
      <c r="N226" s="16">
        <v>2</v>
      </c>
      <c r="O226" s="16">
        <v>2</v>
      </c>
      <c r="P226" t="s">
        <v>2678</v>
      </c>
      <c r="Q226" t="s">
        <v>2560</v>
      </c>
    </row>
    <row r="227" spans="1:18" x14ac:dyDescent="0.15">
      <c r="A227" t="s">
        <v>2964</v>
      </c>
      <c r="B227" t="s">
        <v>2965</v>
      </c>
      <c r="C227" t="s">
        <v>2656</v>
      </c>
      <c r="D227">
        <v>10.57</v>
      </c>
      <c r="E227">
        <v>0.33</v>
      </c>
      <c r="F227" t="s">
        <v>2966</v>
      </c>
      <c r="G227" s="16">
        <v>0</v>
      </c>
      <c r="H227" s="16">
        <v>3</v>
      </c>
      <c r="I227" s="16">
        <v>4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t="s">
        <v>2674</v>
      </c>
      <c r="Q227" t="s">
        <v>2674</v>
      </c>
      <c r="R227" s="8" t="s">
        <v>2967</v>
      </c>
    </row>
    <row r="228" spans="1:18" x14ac:dyDescent="0.15">
      <c r="A228" t="s">
        <v>2922</v>
      </c>
      <c r="B228" t="s">
        <v>2923</v>
      </c>
      <c r="C228" t="s">
        <v>2656</v>
      </c>
      <c r="D228">
        <v>2.88</v>
      </c>
      <c r="E228">
        <v>0.78</v>
      </c>
      <c r="F228" t="s">
        <v>2924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2</v>
      </c>
      <c r="O228" s="16">
        <v>2</v>
      </c>
      <c r="P228" t="s">
        <v>2678</v>
      </c>
      <c r="Q228" t="s">
        <v>2925</v>
      </c>
      <c r="R228" s="9"/>
    </row>
    <row r="229" spans="1:18" x14ac:dyDescent="0.15">
      <c r="A229" t="s">
        <v>2870</v>
      </c>
      <c r="B229" t="s">
        <v>2923</v>
      </c>
      <c r="C229" t="s">
        <v>2656</v>
      </c>
      <c r="D229">
        <v>5.9</v>
      </c>
      <c r="E229">
        <v>1.3</v>
      </c>
      <c r="F229" t="s">
        <v>2871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1</v>
      </c>
      <c r="O229" s="16">
        <v>1</v>
      </c>
      <c r="P229" t="s">
        <v>2678</v>
      </c>
      <c r="Q229" t="s">
        <v>2679</v>
      </c>
      <c r="R229" s="8" t="s">
        <v>2872</v>
      </c>
    </row>
    <row r="230" spans="1:18" x14ac:dyDescent="0.15">
      <c r="A230" t="s">
        <v>2796</v>
      </c>
      <c r="B230" t="s">
        <v>2797</v>
      </c>
      <c r="C230" t="s">
        <v>2656</v>
      </c>
      <c r="D230">
        <v>3.79</v>
      </c>
      <c r="E230">
        <v>1.56</v>
      </c>
      <c r="F230" t="s">
        <v>2798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2</v>
      </c>
      <c r="M230" s="16">
        <v>1</v>
      </c>
      <c r="N230" s="16">
        <v>2</v>
      </c>
      <c r="O230" s="16">
        <v>2</v>
      </c>
      <c r="P230" t="s">
        <v>2678</v>
      </c>
      <c r="Q230" t="s">
        <v>2560</v>
      </c>
      <c r="R230" s="8" t="s">
        <v>2799</v>
      </c>
    </row>
    <row r="231" spans="1:18" x14ac:dyDescent="0.15">
      <c r="O231" s="16"/>
    </row>
    <row r="232" spans="1:18" x14ac:dyDescent="0.15">
      <c r="A232" s="8" t="s">
        <v>168</v>
      </c>
    </row>
    <row r="233" spans="1:18" x14ac:dyDescent="0.15">
      <c r="A233" s="8" t="s">
        <v>30</v>
      </c>
    </row>
  </sheetData>
  <sortState ref="A6:R230">
    <sortCondition ref="B6:B230"/>
  </sortState>
  <phoneticPr fontId="10" type="noConversion"/>
  <pageMargins left="0.75" right="0.75" top="1" bottom="1" header="0.5" footer="0.5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T15" sqref="T15"/>
    </sheetView>
  </sheetViews>
  <sheetFormatPr baseColWidth="10" defaultRowHeight="13" x14ac:dyDescent="0.15"/>
  <cols>
    <col min="1" max="1" width="20.6640625" bestFit="1" customWidth="1"/>
    <col min="2" max="3" width="20.6640625" style="8" customWidth="1"/>
    <col min="4" max="4" width="35.1640625" style="8" bestFit="1" customWidth="1"/>
    <col min="5" max="5" width="10.83203125" style="8"/>
    <col min="6" max="6" width="22.83203125" style="8" bestFit="1" customWidth="1"/>
    <col min="7" max="7" width="9" style="8" bestFit="1" customWidth="1"/>
    <col min="8" max="8" width="22.1640625" style="8" bestFit="1" customWidth="1"/>
    <col min="9" max="9" width="10.83203125" style="8"/>
    <col min="10" max="10" width="15.83203125" bestFit="1" customWidth="1"/>
    <col min="11" max="11" width="11.5" bestFit="1" customWidth="1"/>
  </cols>
  <sheetData>
    <row r="1" spans="1:18" x14ac:dyDescent="0.15">
      <c r="A1" s="8"/>
      <c r="B1" s="8" t="s">
        <v>3032</v>
      </c>
      <c r="F1" s="8" t="s">
        <v>2954</v>
      </c>
    </row>
    <row r="2" spans="1:18" x14ac:dyDescent="0.15">
      <c r="D2" s="8" t="s">
        <v>27</v>
      </c>
      <c r="H2" s="8" t="s">
        <v>28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20</v>
      </c>
    </row>
    <row r="3" spans="1:18" s="8" customFormat="1" x14ac:dyDescent="0.15">
      <c r="B3" s="8" t="s">
        <v>2957</v>
      </c>
      <c r="C3" s="8" t="s">
        <v>2958</v>
      </c>
      <c r="D3" s="8" t="s">
        <v>14</v>
      </c>
      <c r="E3" s="8" t="s">
        <v>15</v>
      </c>
      <c r="F3" s="8" t="s">
        <v>2955</v>
      </c>
      <c r="G3" s="8" t="s">
        <v>29</v>
      </c>
      <c r="H3" s="8" t="s">
        <v>1703</v>
      </c>
      <c r="I3" s="8" t="s">
        <v>16</v>
      </c>
    </row>
    <row r="4" spans="1:18" x14ac:dyDescent="0.15">
      <c r="A4" s="8" t="s">
        <v>9</v>
      </c>
      <c r="B4" s="8">
        <v>7.3964499999999997</v>
      </c>
      <c r="C4" s="8">
        <v>11.239088000000001</v>
      </c>
      <c r="D4" s="8">
        <v>5.6732999999999999E-2</v>
      </c>
      <c r="E4" s="8">
        <v>0.15</v>
      </c>
      <c r="F4" s="8">
        <v>1.33572</v>
      </c>
      <c r="G4" s="8">
        <v>1.152123</v>
      </c>
      <c r="H4" s="8">
        <v>0.98803799999999997</v>
      </c>
      <c r="I4" s="8">
        <v>0.17369999999999999</v>
      </c>
    </row>
    <row r="5" spans="1:18" ht="15" x14ac:dyDescent="0.2">
      <c r="A5" s="8" t="s">
        <v>8</v>
      </c>
      <c r="B5" s="8">
        <v>6.2267000000000001</v>
      </c>
      <c r="C5" s="8">
        <v>7.3287789999999999</v>
      </c>
      <c r="D5" s="8">
        <v>5.5247999999999998E-2</v>
      </c>
      <c r="E5" s="8">
        <v>6.25E-2</v>
      </c>
      <c r="F5" s="8">
        <v>1.27532</v>
      </c>
      <c r="G5" s="8">
        <v>1.1070359999999999</v>
      </c>
      <c r="H5" s="8">
        <v>0.98682400000000003</v>
      </c>
      <c r="I5" s="8">
        <v>2.1299999999999999E-2</v>
      </c>
      <c r="K5" s="8" t="s">
        <v>17</v>
      </c>
      <c r="L5" s="8">
        <v>0.28649999999999998</v>
      </c>
      <c r="M5" s="8">
        <v>0.59279999999999999</v>
      </c>
      <c r="N5" s="8">
        <v>413</v>
      </c>
      <c r="O5" s="8">
        <v>1</v>
      </c>
      <c r="P5" s="8">
        <v>6.0400000000000002E-2</v>
      </c>
      <c r="Q5" s="8">
        <v>0.80579999999999996</v>
      </c>
    </row>
    <row r="6" spans="1:18" x14ac:dyDescent="0.15">
      <c r="A6" s="8" t="s">
        <v>7</v>
      </c>
      <c r="B6" s="8">
        <v>8.3752600000000008</v>
      </c>
      <c r="C6" s="8">
        <v>12.22484</v>
      </c>
      <c r="D6" s="8">
        <v>8.2942000000000002E-2</v>
      </c>
      <c r="E6" s="8">
        <v>0.15</v>
      </c>
      <c r="F6" s="8">
        <v>1.59663</v>
      </c>
      <c r="G6" s="8">
        <v>0.95544799999999996</v>
      </c>
      <c r="H6" s="8">
        <v>0.97361600000000004</v>
      </c>
      <c r="I6" s="8">
        <v>7.85E-2</v>
      </c>
      <c r="M6" s="8"/>
      <c r="N6" s="8"/>
      <c r="O6" s="8"/>
      <c r="P6" s="8"/>
      <c r="Q6" s="8"/>
    </row>
    <row r="7" spans="1:18" ht="15" x14ac:dyDescent="0.2">
      <c r="A7" s="8" t="s">
        <v>6</v>
      </c>
      <c r="B7" s="8">
        <v>6.9320399999999998</v>
      </c>
      <c r="C7" s="8">
        <v>7.5686939999999998</v>
      </c>
      <c r="D7" s="8">
        <v>5.4729E-2</v>
      </c>
      <c r="E7" s="8">
        <v>0.15</v>
      </c>
      <c r="F7" s="8">
        <v>1.4941800000000001</v>
      </c>
      <c r="G7" s="8">
        <v>0.95662100000000005</v>
      </c>
      <c r="H7" s="8">
        <v>0.99315100000000001</v>
      </c>
      <c r="I7" s="8">
        <v>0.95089999999999997</v>
      </c>
      <c r="K7" s="8" t="s">
        <v>24</v>
      </c>
      <c r="L7" s="8">
        <v>0.4733</v>
      </c>
      <c r="M7" s="8">
        <v>0.49249999999999999</v>
      </c>
      <c r="N7" s="8">
        <v>163</v>
      </c>
      <c r="O7" s="8">
        <v>1</v>
      </c>
      <c r="P7" s="8">
        <v>0.1797</v>
      </c>
      <c r="Q7" s="8">
        <v>0.67169999999999996</v>
      </c>
    </row>
    <row r="8" spans="1:18" x14ac:dyDescent="0.15">
      <c r="A8" s="8" t="s">
        <v>5</v>
      </c>
      <c r="B8" s="8">
        <v>19.7956</v>
      </c>
      <c r="C8" s="8">
        <v>22.688462000000001</v>
      </c>
      <c r="D8" s="8">
        <v>0.150313</v>
      </c>
      <c r="E8" s="8">
        <v>0.15</v>
      </c>
      <c r="F8" s="8">
        <v>2.4655800000000001</v>
      </c>
      <c r="G8" s="8">
        <v>1.10138</v>
      </c>
      <c r="H8" s="8">
        <v>0.96084700000000001</v>
      </c>
      <c r="I8" s="8">
        <v>0.56089999999999995</v>
      </c>
      <c r="R8" s="8" t="s">
        <v>25</v>
      </c>
    </row>
    <row r="9" spans="1:18" ht="15" x14ac:dyDescent="0.2">
      <c r="A9" s="8" t="s">
        <v>4</v>
      </c>
      <c r="B9" s="8">
        <v>4.5499499999999999</v>
      </c>
      <c r="C9" s="8">
        <v>4.457624</v>
      </c>
      <c r="D9" s="8">
        <v>0.107656</v>
      </c>
      <c r="E9" s="8">
        <v>0.15</v>
      </c>
      <c r="F9" s="8">
        <v>1.19171</v>
      </c>
      <c r="G9" s="8">
        <v>0.81595600000000001</v>
      </c>
      <c r="H9" s="8">
        <v>0.97586300000000004</v>
      </c>
      <c r="I9" s="8">
        <v>0.85580000000000001</v>
      </c>
      <c r="K9" s="8" t="s">
        <v>26</v>
      </c>
      <c r="L9" s="8">
        <v>10.444100000000001</v>
      </c>
      <c r="M9" s="26" t="s">
        <v>70</v>
      </c>
      <c r="N9" s="8">
        <v>149</v>
      </c>
      <c r="O9" s="8">
        <v>4</v>
      </c>
      <c r="P9" s="8">
        <v>35.096499999999999</v>
      </c>
      <c r="Q9" s="26" t="s">
        <v>70</v>
      </c>
      <c r="R9" s="8" t="s">
        <v>12</v>
      </c>
    </row>
    <row r="10" spans="1:18" x14ac:dyDescent="0.15">
      <c r="A10" s="8" t="s">
        <v>10</v>
      </c>
      <c r="B10" s="8">
        <v>15.78547</v>
      </c>
      <c r="C10" s="8">
        <v>14.684414</v>
      </c>
      <c r="D10" s="8">
        <v>9.7239999999999993E-2</v>
      </c>
      <c r="E10" s="8">
        <v>0.15</v>
      </c>
      <c r="F10" s="8">
        <v>2.35955</v>
      </c>
      <c r="G10" s="8">
        <v>0.93837499999999996</v>
      </c>
      <c r="H10" s="8">
        <v>0.96164799999999995</v>
      </c>
      <c r="I10" s="8">
        <v>0.60519999999999996</v>
      </c>
      <c r="N10" s="8"/>
      <c r="O10" s="8"/>
      <c r="P10" s="8"/>
      <c r="Q10" s="8"/>
      <c r="R10" s="8" t="s">
        <v>13</v>
      </c>
    </row>
    <row r="11" spans="1:18" x14ac:dyDescent="0.15">
      <c r="A11" s="8" t="s">
        <v>11</v>
      </c>
      <c r="B11" s="8">
        <v>18.551570000000002</v>
      </c>
      <c r="C11" s="8">
        <v>23.549225</v>
      </c>
      <c r="D11" s="8">
        <v>0.18398900000000001</v>
      </c>
      <c r="E11" s="8">
        <v>0.15</v>
      </c>
      <c r="F11" s="8">
        <v>2.5282200000000001</v>
      </c>
      <c r="G11" s="8">
        <v>0.83043800000000001</v>
      </c>
      <c r="H11" s="8">
        <v>0.92703100000000005</v>
      </c>
      <c r="I11" s="8">
        <v>0.27710000000000001</v>
      </c>
    </row>
    <row r="13" spans="1:18" x14ac:dyDescent="0.15">
      <c r="A13" s="8" t="s">
        <v>2956</v>
      </c>
      <c r="K13" s="8" t="s">
        <v>3033</v>
      </c>
    </row>
    <row r="14" spans="1:18" ht="15" x14ac:dyDescent="0.2">
      <c r="K14" s="30" t="s">
        <v>3</v>
      </c>
    </row>
    <row r="15" spans="1:18" ht="15" x14ac:dyDescent="0.2">
      <c r="K15" s="8" t="s">
        <v>2959</v>
      </c>
    </row>
    <row r="16" spans="1:18" ht="15" x14ac:dyDescent="0.2">
      <c r="K16" s="8" t="s">
        <v>2960</v>
      </c>
    </row>
    <row r="21" spans="4:11" x14ac:dyDescent="0.15">
      <c r="K21" s="8"/>
    </row>
    <row r="22" spans="4:11" x14ac:dyDescent="0.15">
      <c r="K22" s="8"/>
    </row>
    <row r="23" spans="4:11" x14ac:dyDescent="0.15">
      <c r="K23" s="8"/>
    </row>
    <row r="24" spans="4:11" x14ac:dyDescent="0.15">
      <c r="K24" s="8"/>
    </row>
    <row r="25" spans="4:11" x14ac:dyDescent="0.15">
      <c r="K25" s="8"/>
    </row>
    <row r="28" spans="4:11" x14ac:dyDescent="0.15">
      <c r="D28"/>
      <c r="E28"/>
      <c r="J28" s="8"/>
    </row>
    <row r="29" spans="4:11" x14ac:dyDescent="0.15">
      <c r="D29"/>
      <c r="E29"/>
      <c r="J29" s="8"/>
    </row>
    <row r="30" spans="4:11" x14ac:dyDescent="0.15">
      <c r="D30"/>
      <c r="E30"/>
      <c r="J30" s="8"/>
    </row>
    <row r="31" spans="4:11" x14ac:dyDescent="0.15">
      <c r="D31"/>
      <c r="E31"/>
      <c r="J31" s="8"/>
    </row>
    <row r="32" spans="4:11" x14ac:dyDescent="0.15">
      <c r="D32"/>
      <c r="E32"/>
      <c r="J32" s="8"/>
    </row>
  </sheetData>
  <phoneticPr fontId="1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2"/>
  <sheetViews>
    <sheetView topLeftCell="F477" workbookViewId="0">
      <pane ySplit="2080" activePane="bottomLeft"/>
      <selection activeCell="AD479" sqref="AD479"/>
      <selection pane="bottomLeft" activeCell="E469" sqref="E469"/>
    </sheetView>
  </sheetViews>
  <sheetFormatPr baseColWidth="10" defaultRowHeight="13" x14ac:dyDescent="0.15"/>
  <cols>
    <col min="1" max="1" width="14.5" bestFit="1" customWidth="1"/>
    <col min="2" max="2" width="15.6640625" bestFit="1" customWidth="1"/>
    <col min="3" max="3" width="15.6640625" style="8" customWidth="1"/>
    <col min="6" max="6" width="12.33203125" bestFit="1" customWidth="1"/>
    <col min="7" max="7" width="11.83203125" bestFit="1" customWidth="1"/>
    <col min="8" max="8" width="6" bestFit="1" customWidth="1"/>
    <col min="11" max="11" width="15.5" bestFit="1" customWidth="1"/>
    <col min="14" max="14" width="13.33203125" bestFit="1" customWidth="1"/>
    <col min="15" max="15" width="15.5" bestFit="1" customWidth="1"/>
    <col min="18" max="18" width="58.6640625" customWidth="1"/>
    <col min="26" max="26" width="25" customWidth="1"/>
    <col min="30" max="30" width="14.33203125" customWidth="1"/>
    <col min="31" max="31" width="13" bestFit="1" customWidth="1"/>
    <col min="32" max="32" width="11.83203125" bestFit="1" customWidth="1"/>
    <col min="33" max="33" width="16" bestFit="1" customWidth="1"/>
  </cols>
  <sheetData>
    <row r="1" spans="1:32" x14ac:dyDescent="0.15">
      <c r="A1" t="s">
        <v>1280</v>
      </c>
      <c r="B1" t="s">
        <v>1290</v>
      </c>
      <c r="C1" s="8" t="s">
        <v>152</v>
      </c>
      <c r="D1" t="s">
        <v>1281</v>
      </c>
      <c r="E1" t="s">
        <v>1282</v>
      </c>
      <c r="F1" t="s">
        <v>1283</v>
      </c>
      <c r="G1" s="8" t="s">
        <v>1388</v>
      </c>
      <c r="H1" s="8" t="s">
        <v>1226</v>
      </c>
      <c r="I1" s="8" t="s">
        <v>1285</v>
      </c>
      <c r="J1" s="8" t="s">
        <v>1227</v>
      </c>
      <c r="K1" s="8" t="s">
        <v>1286</v>
      </c>
      <c r="L1" s="8" t="s">
        <v>1287</v>
      </c>
      <c r="M1" s="8" t="s">
        <v>1288</v>
      </c>
      <c r="N1" s="8" t="s">
        <v>1289</v>
      </c>
      <c r="O1" s="8" t="s">
        <v>1195</v>
      </c>
      <c r="P1" t="s">
        <v>1224</v>
      </c>
      <c r="Q1" t="s">
        <v>1228</v>
      </c>
      <c r="R1" t="s">
        <v>1225</v>
      </c>
      <c r="S1" t="s">
        <v>2000</v>
      </c>
    </row>
    <row r="2" spans="1:32" x14ac:dyDescent="0.15">
      <c r="G2" s="8"/>
      <c r="H2" s="8"/>
      <c r="I2" s="8"/>
      <c r="J2" s="8"/>
      <c r="K2" s="8"/>
      <c r="L2" s="8"/>
      <c r="M2" s="8"/>
      <c r="N2" s="8"/>
      <c r="O2" s="8"/>
      <c r="S2" t="s">
        <v>1788</v>
      </c>
    </row>
    <row r="3" spans="1:32" x14ac:dyDescent="0.15">
      <c r="A3" t="s">
        <v>1792</v>
      </c>
      <c r="B3" t="s">
        <v>998</v>
      </c>
      <c r="C3" s="8" t="s">
        <v>154</v>
      </c>
      <c r="D3">
        <v>5.43</v>
      </c>
      <c r="E3">
        <v>1.25</v>
      </c>
      <c r="F3" t="s">
        <v>2297</v>
      </c>
      <c r="G3" s="16">
        <v>4</v>
      </c>
      <c r="H3" s="16">
        <v>3</v>
      </c>
      <c r="I3" s="16">
        <v>2</v>
      </c>
      <c r="J3" s="16">
        <v>0</v>
      </c>
      <c r="K3" s="16">
        <v>0</v>
      </c>
      <c r="L3" s="16">
        <v>0</v>
      </c>
      <c r="M3" s="16">
        <v>1</v>
      </c>
      <c r="N3" s="16">
        <v>2</v>
      </c>
      <c r="O3" s="16">
        <v>0</v>
      </c>
      <c r="P3" t="s">
        <v>802</v>
      </c>
      <c r="Q3" t="s">
        <v>1095</v>
      </c>
      <c r="R3" t="s">
        <v>2282</v>
      </c>
    </row>
    <row r="4" spans="1:32" x14ac:dyDescent="0.15">
      <c r="A4" t="s">
        <v>1488</v>
      </c>
      <c r="B4" t="s">
        <v>1489</v>
      </c>
      <c r="C4" s="8" t="s">
        <v>154</v>
      </c>
      <c r="D4">
        <v>7.12</v>
      </c>
      <c r="E4">
        <v>3.35</v>
      </c>
      <c r="F4" t="s">
        <v>942</v>
      </c>
      <c r="G4" s="16">
        <v>4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1</v>
      </c>
      <c r="N4" s="16">
        <v>2</v>
      </c>
      <c r="O4" s="16">
        <v>2</v>
      </c>
      <c r="P4" t="s">
        <v>1393</v>
      </c>
      <c r="Q4" t="s">
        <v>1613</v>
      </c>
      <c r="AA4" s="8"/>
      <c r="AB4" s="8"/>
      <c r="AC4" s="8"/>
      <c r="AE4" s="8"/>
      <c r="AF4" s="8"/>
    </row>
    <row r="5" spans="1:32" x14ac:dyDescent="0.15">
      <c r="A5" t="s">
        <v>1980</v>
      </c>
      <c r="B5" t="s">
        <v>1660</v>
      </c>
      <c r="C5" s="8" t="s">
        <v>155</v>
      </c>
      <c r="D5">
        <v>12.84</v>
      </c>
      <c r="E5">
        <v>3.76</v>
      </c>
      <c r="F5" t="s">
        <v>2110</v>
      </c>
      <c r="G5" s="16">
        <v>3</v>
      </c>
      <c r="H5" s="16">
        <v>2</v>
      </c>
      <c r="I5" s="16">
        <v>3</v>
      </c>
      <c r="J5" s="16">
        <v>2</v>
      </c>
      <c r="K5" s="16">
        <v>1</v>
      </c>
      <c r="L5" s="16">
        <v>0</v>
      </c>
      <c r="M5" s="16">
        <v>1</v>
      </c>
      <c r="N5" s="16">
        <v>2</v>
      </c>
      <c r="O5" s="16">
        <v>2</v>
      </c>
      <c r="P5" t="s">
        <v>1720</v>
      </c>
      <c r="Q5" t="s">
        <v>1613</v>
      </c>
      <c r="R5" t="s">
        <v>2267</v>
      </c>
      <c r="AA5" s="8"/>
      <c r="AB5" s="8"/>
      <c r="AC5" s="8"/>
      <c r="AE5" s="8"/>
      <c r="AF5" s="8"/>
    </row>
    <row r="6" spans="1:32" x14ac:dyDescent="0.15">
      <c r="A6" t="s">
        <v>1863</v>
      </c>
      <c r="B6" t="s">
        <v>1937</v>
      </c>
      <c r="C6" s="8" t="s">
        <v>156</v>
      </c>
      <c r="D6">
        <v>1.9</v>
      </c>
      <c r="E6">
        <v>1.41</v>
      </c>
      <c r="F6" t="s">
        <v>918</v>
      </c>
      <c r="G6" s="16">
        <v>0</v>
      </c>
      <c r="H6" s="16">
        <v>3</v>
      </c>
      <c r="I6" s="16">
        <v>2</v>
      </c>
      <c r="J6" s="16">
        <v>0</v>
      </c>
      <c r="K6" s="16">
        <v>0</v>
      </c>
      <c r="L6" s="16">
        <v>1</v>
      </c>
      <c r="M6" s="16">
        <v>1</v>
      </c>
      <c r="N6" s="16">
        <v>2</v>
      </c>
      <c r="O6" s="16">
        <v>2</v>
      </c>
      <c r="P6" t="s">
        <v>1393</v>
      </c>
      <c r="Q6" t="s">
        <v>1313</v>
      </c>
      <c r="R6" t="s">
        <v>2129</v>
      </c>
      <c r="AA6" s="8"/>
      <c r="AB6" s="8"/>
      <c r="AC6" s="8"/>
      <c r="AE6" s="8"/>
      <c r="AF6" s="8"/>
    </row>
    <row r="7" spans="1:32" x14ac:dyDescent="0.15">
      <c r="A7" t="s">
        <v>1020</v>
      </c>
      <c r="B7" t="s">
        <v>1021</v>
      </c>
      <c r="D7">
        <v>3.06</v>
      </c>
      <c r="E7">
        <v>0.56999999999999995</v>
      </c>
      <c r="F7" t="s">
        <v>1655</v>
      </c>
      <c r="G7" s="16">
        <v>0</v>
      </c>
      <c r="H7" s="16">
        <v>5</v>
      </c>
      <c r="I7" s="16">
        <v>4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t="s">
        <v>1022</v>
      </c>
      <c r="Q7" t="s">
        <v>1111</v>
      </c>
      <c r="AA7" s="8"/>
      <c r="AB7" s="8"/>
      <c r="AC7" s="8"/>
      <c r="AE7" s="8"/>
      <c r="AF7" s="8"/>
    </row>
    <row r="8" spans="1:32" x14ac:dyDescent="0.15">
      <c r="A8" t="s">
        <v>771</v>
      </c>
      <c r="B8" t="s">
        <v>848</v>
      </c>
      <c r="C8" s="8" t="s">
        <v>157</v>
      </c>
      <c r="D8">
        <v>2.58</v>
      </c>
      <c r="E8">
        <v>0.28999999999999998</v>
      </c>
      <c r="F8" t="s">
        <v>2205</v>
      </c>
      <c r="G8" s="16">
        <v>0</v>
      </c>
      <c r="H8" s="16">
        <v>7</v>
      </c>
      <c r="I8" s="16">
        <v>4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t="s">
        <v>960</v>
      </c>
      <c r="Q8" t="s">
        <v>1134</v>
      </c>
      <c r="AA8" s="8"/>
      <c r="AB8" s="8"/>
      <c r="AC8" s="8"/>
      <c r="AE8" s="8"/>
      <c r="AF8" s="8"/>
    </row>
    <row r="9" spans="1:32" x14ac:dyDescent="0.15">
      <c r="A9" t="s">
        <v>947</v>
      </c>
      <c r="B9" t="s">
        <v>848</v>
      </c>
      <c r="C9" s="8" t="s">
        <v>157</v>
      </c>
      <c r="D9">
        <v>1.1299999999999999</v>
      </c>
      <c r="E9">
        <v>0.79</v>
      </c>
      <c r="F9" t="s">
        <v>2206</v>
      </c>
      <c r="G9" s="16">
        <v>0</v>
      </c>
      <c r="H9" s="16">
        <v>8</v>
      </c>
      <c r="I9" s="16">
        <v>1</v>
      </c>
      <c r="J9" s="16">
        <v>0</v>
      </c>
      <c r="K9" s="16">
        <v>0</v>
      </c>
      <c r="L9" s="16">
        <v>0</v>
      </c>
      <c r="M9" s="16">
        <v>1</v>
      </c>
      <c r="N9" s="16">
        <v>1</v>
      </c>
      <c r="O9" s="16">
        <v>1</v>
      </c>
      <c r="P9" t="s">
        <v>802</v>
      </c>
      <c r="Q9" t="s">
        <v>959</v>
      </c>
      <c r="R9" t="s">
        <v>2147</v>
      </c>
      <c r="AA9" s="8"/>
      <c r="AB9" s="8"/>
      <c r="AC9" s="8"/>
      <c r="AE9" s="8"/>
      <c r="AF9" s="8"/>
    </row>
    <row r="10" spans="1:32" x14ac:dyDescent="0.15">
      <c r="A10" t="s">
        <v>957</v>
      </c>
      <c r="B10" t="s">
        <v>848</v>
      </c>
      <c r="C10" s="8" t="s">
        <v>157</v>
      </c>
      <c r="D10">
        <v>1.89</v>
      </c>
      <c r="E10">
        <v>0.81</v>
      </c>
      <c r="F10" t="s">
        <v>2082</v>
      </c>
      <c r="G10" s="16">
        <v>0</v>
      </c>
      <c r="H10" s="16">
        <v>8</v>
      </c>
      <c r="I10" s="16">
        <v>1</v>
      </c>
      <c r="J10" s="16">
        <v>0</v>
      </c>
      <c r="K10" s="16">
        <v>0</v>
      </c>
      <c r="L10" s="16">
        <v>0</v>
      </c>
      <c r="M10" s="16">
        <v>2</v>
      </c>
      <c r="N10" s="16">
        <v>1</v>
      </c>
      <c r="O10" s="16">
        <v>1</v>
      </c>
      <c r="P10" t="s">
        <v>802</v>
      </c>
      <c r="Q10" t="s">
        <v>958</v>
      </c>
      <c r="R10" t="s">
        <v>2335</v>
      </c>
      <c r="AA10" s="8"/>
      <c r="AB10" s="8"/>
      <c r="AC10" s="8"/>
      <c r="AE10" s="8"/>
      <c r="AF10" s="8"/>
    </row>
    <row r="11" spans="1:32" x14ac:dyDescent="0.15">
      <c r="A11" t="s">
        <v>766</v>
      </c>
      <c r="B11" t="s">
        <v>848</v>
      </c>
      <c r="C11" s="8" t="s">
        <v>157</v>
      </c>
      <c r="D11">
        <v>1.78</v>
      </c>
      <c r="E11">
        <v>0.81</v>
      </c>
      <c r="F11" t="s">
        <v>2095</v>
      </c>
      <c r="G11" s="16">
        <v>0</v>
      </c>
      <c r="H11" s="16">
        <v>8</v>
      </c>
      <c r="I11" s="16">
        <v>4</v>
      </c>
      <c r="J11" s="16">
        <v>0</v>
      </c>
      <c r="K11" s="16">
        <v>0</v>
      </c>
      <c r="L11" s="16">
        <v>0</v>
      </c>
      <c r="M11" s="16">
        <v>1</v>
      </c>
      <c r="N11" s="16">
        <v>1</v>
      </c>
      <c r="O11" s="16">
        <v>1</v>
      </c>
      <c r="P11" t="s">
        <v>802</v>
      </c>
      <c r="Q11" t="s">
        <v>730</v>
      </c>
      <c r="R11" t="s">
        <v>2143</v>
      </c>
      <c r="AA11" s="8"/>
      <c r="AB11" s="8"/>
      <c r="AC11" s="8"/>
      <c r="AE11" s="8"/>
      <c r="AF11" s="8"/>
    </row>
    <row r="12" spans="1:32" x14ac:dyDescent="0.15">
      <c r="A12" t="s">
        <v>1567</v>
      </c>
      <c r="B12" t="s">
        <v>1712</v>
      </c>
      <c r="C12" s="8" t="s">
        <v>157</v>
      </c>
      <c r="D12">
        <v>1.35</v>
      </c>
      <c r="E12">
        <v>0.54</v>
      </c>
      <c r="F12" t="s">
        <v>940</v>
      </c>
      <c r="G12" s="16">
        <v>0</v>
      </c>
      <c r="H12" s="16">
        <v>7</v>
      </c>
      <c r="I12" s="16">
        <v>1</v>
      </c>
      <c r="J12" s="16">
        <v>0</v>
      </c>
      <c r="K12" s="16">
        <v>0</v>
      </c>
      <c r="L12" s="16">
        <v>0</v>
      </c>
      <c r="M12" s="16">
        <v>1</v>
      </c>
      <c r="N12" s="16">
        <v>1</v>
      </c>
      <c r="O12" s="16">
        <v>1</v>
      </c>
      <c r="P12" t="s">
        <v>1393</v>
      </c>
      <c r="Q12" t="s">
        <v>1313</v>
      </c>
      <c r="R12" t="s">
        <v>1985</v>
      </c>
      <c r="AA12" s="8"/>
      <c r="AB12" s="8"/>
      <c r="AC12" s="8"/>
      <c r="AE12" s="8"/>
      <c r="AF12" s="8"/>
    </row>
    <row r="13" spans="1:32" x14ac:dyDescent="0.15">
      <c r="A13" t="s">
        <v>1809</v>
      </c>
      <c r="B13" t="s">
        <v>1810</v>
      </c>
      <c r="C13" s="8" t="s">
        <v>157</v>
      </c>
      <c r="D13">
        <v>1.03</v>
      </c>
      <c r="E13">
        <v>0.5</v>
      </c>
      <c r="F13" t="s">
        <v>1846</v>
      </c>
      <c r="G13" s="16">
        <v>0</v>
      </c>
      <c r="H13" s="16">
        <v>5</v>
      </c>
      <c r="I13" s="16">
        <v>1</v>
      </c>
      <c r="J13" s="16">
        <v>0</v>
      </c>
      <c r="K13" s="16">
        <v>0</v>
      </c>
      <c r="L13" s="16">
        <v>0</v>
      </c>
      <c r="M13" s="16">
        <v>1</v>
      </c>
      <c r="N13" s="16">
        <v>1</v>
      </c>
      <c r="O13" s="16">
        <v>1</v>
      </c>
      <c r="P13" t="s">
        <v>1393</v>
      </c>
      <c r="Q13" t="s">
        <v>1313</v>
      </c>
      <c r="AA13" s="8"/>
      <c r="AB13" s="8"/>
      <c r="AC13" s="8"/>
      <c r="AE13" s="8"/>
      <c r="AF13" s="8"/>
    </row>
    <row r="14" spans="1:32" x14ac:dyDescent="0.15">
      <c r="A14" t="s">
        <v>1940</v>
      </c>
      <c r="B14" t="s">
        <v>1810</v>
      </c>
      <c r="C14" s="8" t="s">
        <v>157</v>
      </c>
      <c r="D14">
        <v>3.58</v>
      </c>
      <c r="E14">
        <v>1.37</v>
      </c>
      <c r="F14" t="s">
        <v>916</v>
      </c>
      <c r="G14" s="16">
        <v>0</v>
      </c>
      <c r="H14" s="16">
        <v>4</v>
      </c>
      <c r="I14" s="16">
        <v>2</v>
      </c>
      <c r="J14" s="16">
        <v>0</v>
      </c>
      <c r="K14" s="16">
        <v>0</v>
      </c>
      <c r="L14" s="16">
        <v>0</v>
      </c>
      <c r="M14" s="16">
        <v>2</v>
      </c>
      <c r="N14" s="16">
        <v>1</v>
      </c>
      <c r="O14" s="16">
        <v>1</v>
      </c>
      <c r="P14" t="s">
        <v>1393</v>
      </c>
      <c r="Q14" t="s">
        <v>1313</v>
      </c>
      <c r="R14" t="s">
        <v>2023</v>
      </c>
      <c r="AA14" s="8"/>
      <c r="AB14" s="8"/>
      <c r="AC14" s="8"/>
      <c r="AE14" s="8"/>
      <c r="AF14" s="8"/>
    </row>
    <row r="15" spans="1:32" x14ac:dyDescent="0.15">
      <c r="A15" t="s">
        <v>638</v>
      </c>
      <c r="B15" t="s">
        <v>641</v>
      </c>
      <c r="C15" s="8" t="s">
        <v>157</v>
      </c>
      <c r="D15">
        <v>1.76</v>
      </c>
      <c r="E15">
        <v>1.1000000000000001</v>
      </c>
      <c r="F15" t="s">
        <v>642</v>
      </c>
      <c r="G15" s="16">
        <v>0</v>
      </c>
      <c r="H15" s="16">
        <v>7</v>
      </c>
      <c r="I15" s="16">
        <v>4</v>
      </c>
      <c r="J15" s="16">
        <v>0</v>
      </c>
      <c r="K15" s="16">
        <v>0</v>
      </c>
      <c r="L15" s="16">
        <v>0</v>
      </c>
      <c r="M15" s="16">
        <v>1</v>
      </c>
      <c r="N15" s="16">
        <v>1</v>
      </c>
      <c r="O15" s="16">
        <v>3</v>
      </c>
      <c r="P15" t="s">
        <v>798</v>
      </c>
      <c r="Q15" t="s">
        <v>637</v>
      </c>
      <c r="R15" t="s">
        <v>2312</v>
      </c>
      <c r="AA15" s="8"/>
      <c r="AB15" s="8"/>
      <c r="AC15" s="8"/>
      <c r="AE15" s="8"/>
      <c r="AF15" s="8"/>
    </row>
    <row r="16" spans="1:32" x14ac:dyDescent="0.15">
      <c r="A16" t="s">
        <v>435</v>
      </c>
      <c r="B16" t="s">
        <v>436</v>
      </c>
      <c r="C16" s="8" t="s">
        <v>157</v>
      </c>
      <c r="D16">
        <v>1.03</v>
      </c>
      <c r="E16">
        <v>0.69</v>
      </c>
      <c r="F16" t="s">
        <v>437</v>
      </c>
      <c r="G16" s="16">
        <v>0</v>
      </c>
      <c r="H16" s="16">
        <v>8</v>
      </c>
      <c r="I16" s="16">
        <v>4</v>
      </c>
      <c r="J16" s="16">
        <v>0</v>
      </c>
      <c r="K16" s="16">
        <v>0</v>
      </c>
      <c r="L16" s="16">
        <v>0</v>
      </c>
      <c r="M16" s="16">
        <v>1</v>
      </c>
      <c r="N16" s="16">
        <v>1</v>
      </c>
      <c r="O16" s="16">
        <v>3</v>
      </c>
      <c r="P16" t="s">
        <v>798</v>
      </c>
      <c r="Q16" t="s">
        <v>637</v>
      </c>
      <c r="R16" t="s">
        <v>2388</v>
      </c>
      <c r="AA16" s="8"/>
      <c r="AB16" s="8"/>
      <c r="AC16" s="8"/>
      <c r="AE16" s="8"/>
      <c r="AF16" s="8"/>
    </row>
    <row r="17" spans="1:32" x14ac:dyDescent="0.15">
      <c r="A17" t="s">
        <v>626</v>
      </c>
      <c r="B17" t="s">
        <v>627</v>
      </c>
      <c r="C17" s="8" t="s">
        <v>157</v>
      </c>
      <c r="D17">
        <v>1.33</v>
      </c>
      <c r="E17">
        <v>0.56000000000000005</v>
      </c>
      <c r="F17" t="s">
        <v>514</v>
      </c>
      <c r="G17" s="16">
        <v>0</v>
      </c>
      <c r="H17" s="16">
        <v>8</v>
      </c>
      <c r="I17" s="16">
        <v>1</v>
      </c>
      <c r="J17" s="16">
        <v>0</v>
      </c>
      <c r="K17" s="16">
        <v>0</v>
      </c>
      <c r="L17" s="16">
        <v>0</v>
      </c>
      <c r="M17" s="16">
        <v>1</v>
      </c>
      <c r="N17" s="16">
        <v>1</v>
      </c>
      <c r="O17" s="16">
        <v>1</v>
      </c>
      <c r="P17" t="s">
        <v>798</v>
      </c>
      <c r="Q17" t="s">
        <v>637</v>
      </c>
      <c r="R17" t="s">
        <v>2279</v>
      </c>
      <c r="AA17" s="8"/>
      <c r="AB17" s="8"/>
      <c r="AC17" s="8"/>
      <c r="AE17" s="8"/>
      <c r="AF17" s="8"/>
    </row>
    <row r="18" spans="1:32" x14ac:dyDescent="0.15">
      <c r="A18" t="s">
        <v>1560</v>
      </c>
      <c r="B18" t="s">
        <v>1561</v>
      </c>
      <c r="C18" s="8" t="s">
        <v>154</v>
      </c>
      <c r="D18">
        <v>7.12</v>
      </c>
      <c r="E18">
        <v>3.49</v>
      </c>
      <c r="F18" t="s">
        <v>1821</v>
      </c>
      <c r="G18" s="16">
        <v>3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1</v>
      </c>
      <c r="N18" s="16">
        <v>2</v>
      </c>
      <c r="O18" s="16">
        <v>2</v>
      </c>
      <c r="P18" t="s">
        <v>1514</v>
      </c>
      <c r="Q18" t="s">
        <v>1515</v>
      </c>
      <c r="AA18" s="8"/>
      <c r="AB18" s="8"/>
      <c r="AC18" s="8"/>
      <c r="AE18" s="8"/>
      <c r="AF18" s="8"/>
    </row>
    <row r="19" spans="1:32" x14ac:dyDescent="0.15">
      <c r="A19" t="s">
        <v>1628</v>
      </c>
      <c r="B19" t="s">
        <v>1629</v>
      </c>
      <c r="C19" s="8" t="s">
        <v>154</v>
      </c>
      <c r="D19">
        <v>4.9800000000000004</v>
      </c>
      <c r="E19">
        <v>1.95</v>
      </c>
      <c r="F19" t="s">
        <v>1824</v>
      </c>
      <c r="G19" s="16">
        <v>2</v>
      </c>
      <c r="H19" s="16">
        <v>0</v>
      </c>
      <c r="I19" s="16">
        <v>0</v>
      </c>
      <c r="J19" s="16">
        <v>0</v>
      </c>
      <c r="K19" s="16">
        <v>0</v>
      </c>
      <c r="L19" s="16">
        <v>1</v>
      </c>
      <c r="M19" s="16">
        <v>1</v>
      </c>
      <c r="N19" s="16">
        <v>1</v>
      </c>
      <c r="O19" s="16">
        <v>2</v>
      </c>
      <c r="P19" t="s">
        <v>1630</v>
      </c>
      <c r="Q19" t="s">
        <v>1581</v>
      </c>
      <c r="AA19" s="8"/>
      <c r="AB19" s="8"/>
      <c r="AC19" s="8"/>
      <c r="AE19" s="8"/>
      <c r="AF19" s="8"/>
    </row>
    <row r="20" spans="1:32" x14ac:dyDescent="0.15">
      <c r="A20" t="s">
        <v>1753</v>
      </c>
      <c r="B20" t="s">
        <v>1629</v>
      </c>
      <c r="C20" s="8" t="s">
        <v>154</v>
      </c>
      <c r="D20">
        <v>2.7</v>
      </c>
      <c r="E20">
        <v>1.02</v>
      </c>
      <c r="F20" t="s">
        <v>1995</v>
      </c>
      <c r="G20" s="16">
        <v>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2</v>
      </c>
      <c r="O20" s="16">
        <v>2</v>
      </c>
      <c r="P20" t="s">
        <v>1529</v>
      </c>
      <c r="Q20" t="s">
        <v>1624</v>
      </c>
      <c r="R20" t="s">
        <v>807</v>
      </c>
      <c r="AA20" s="8"/>
      <c r="AB20" s="8"/>
      <c r="AC20" s="8"/>
      <c r="AE20" s="8"/>
      <c r="AF20" s="8"/>
    </row>
    <row r="21" spans="1:32" x14ac:dyDescent="0.15">
      <c r="A21" t="s">
        <v>880</v>
      </c>
      <c r="B21" t="s">
        <v>881</v>
      </c>
      <c r="C21" s="8" t="s">
        <v>154</v>
      </c>
      <c r="D21">
        <v>4.3099999999999996</v>
      </c>
      <c r="E21">
        <v>1.89</v>
      </c>
      <c r="F21" t="s">
        <v>1825</v>
      </c>
      <c r="G21" s="16">
        <v>3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2</v>
      </c>
      <c r="O21" s="16">
        <v>2</v>
      </c>
      <c r="P21" t="s">
        <v>802</v>
      </c>
      <c r="Q21" t="s">
        <v>1055</v>
      </c>
      <c r="AA21" s="8"/>
      <c r="AB21" s="8"/>
      <c r="AC21" s="8"/>
      <c r="AE21" s="8"/>
      <c r="AF21" s="8"/>
    </row>
    <row r="22" spans="1:32" x14ac:dyDescent="0.15">
      <c r="A22" t="s">
        <v>926</v>
      </c>
      <c r="B22" t="s">
        <v>925</v>
      </c>
      <c r="C22" s="8" t="s">
        <v>154</v>
      </c>
      <c r="D22">
        <v>3.18</v>
      </c>
      <c r="E22">
        <v>1.08</v>
      </c>
      <c r="F22" t="s">
        <v>2219</v>
      </c>
      <c r="G22" s="16">
        <v>2</v>
      </c>
      <c r="H22" s="16">
        <v>2</v>
      </c>
      <c r="I22" s="16">
        <v>2</v>
      </c>
      <c r="J22" s="16">
        <v>0</v>
      </c>
      <c r="K22" s="16">
        <v>0</v>
      </c>
      <c r="L22" s="16">
        <v>0</v>
      </c>
      <c r="M22" s="16">
        <v>1</v>
      </c>
      <c r="N22" s="16">
        <v>1</v>
      </c>
      <c r="O22" s="16">
        <v>2</v>
      </c>
      <c r="P22" t="s">
        <v>847</v>
      </c>
      <c r="Q22" t="s">
        <v>1092</v>
      </c>
      <c r="R22" t="s">
        <v>2261</v>
      </c>
      <c r="AA22" s="8"/>
      <c r="AB22" s="8"/>
      <c r="AC22" s="8"/>
      <c r="AE22" s="8"/>
      <c r="AF22" s="8"/>
    </row>
    <row r="23" spans="1:32" x14ac:dyDescent="0.15">
      <c r="A23" t="s">
        <v>893</v>
      </c>
      <c r="B23" t="s">
        <v>894</v>
      </c>
      <c r="C23" s="8" t="s">
        <v>154</v>
      </c>
      <c r="D23">
        <v>1.93</v>
      </c>
      <c r="E23">
        <v>1.07</v>
      </c>
      <c r="F23" t="s">
        <v>2289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t="s">
        <v>885</v>
      </c>
      <c r="Q23" t="s">
        <v>1093</v>
      </c>
      <c r="AA23" s="8"/>
      <c r="AB23" s="8"/>
      <c r="AC23" s="8"/>
      <c r="AE23" s="8"/>
      <c r="AF23" s="8"/>
    </row>
    <row r="24" spans="1:32" x14ac:dyDescent="0.15">
      <c r="A24" t="s">
        <v>2037</v>
      </c>
      <c r="B24" t="s">
        <v>1689</v>
      </c>
      <c r="C24" s="8" t="s">
        <v>154</v>
      </c>
      <c r="D24">
        <v>4.1399999999999997</v>
      </c>
      <c r="E24">
        <v>1.49</v>
      </c>
      <c r="F24" t="s">
        <v>2038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1</v>
      </c>
      <c r="O24" s="16">
        <v>2</v>
      </c>
      <c r="P24" t="s">
        <v>1487</v>
      </c>
      <c r="Q24" t="s">
        <v>1613</v>
      </c>
      <c r="R24" t="s">
        <v>2084</v>
      </c>
      <c r="AA24" s="8"/>
      <c r="AB24" s="8"/>
      <c r="AC24" s="8"/>
      <c r="AE24" s="8"/>
      <c r="AF24" s="8"/>
    </row>
    <row r="25" spans="1:32" x14ac:dyDescent="0.15">
      <c r="A25" t="s">
        <v>1492</v>
      </c>
      <c r="B25" t="s">
        <v>1493</v>
      </c>
      <c r="C25" s="8" t="s">
        <v>154</v>
      </c>
      <c r="D25">
        <v>3.62</v>
      </c>
      <c r="E25">
        <v>1.19</v>
      </c>
      <c r="F25" t="s">
        <v>2050</v>
      </c>
      <c r="G25" s="16">
        <v>4</v>
      </c>
      <c r="H25" s="16">
        <v>2</v>
      </c>
      <c r="I25" s="16">
        <v>2</v>
      </c>
      <c r="J25" s="16">
        <v>0</v>
      </c>
      <c r="K25" s="16">
        <v>0</v>
      </c>
      <c r="L25" s="16">
        <v>0</v>
      </c>
      <c r="M25" s="16">
        <v>1</v>
      </c>
      <c r="N25" s="16">
        <v>1</v>
      </c>
      <c r="O25" s="16">
        <v>2</v>
      </c>
      <c r="P25" t="s">
        <v>1393</v>
      </c>
      <c r="Q25" t="s">
        <v>1613</v>
      </c>
      <c r="R25" t="s">
        <v>2019</v>
      </c>
      <c r="AA25" s="8"/>
      <c r="AB25" s="8"/>
      <c r="AC25" s="8"/>
      <c r="AE25" s="8"/>
      <c r="AF25" s="8"/>
    </row>
    <row r="26" spans="1:32" x14ac:dyDescent="0.15">
      <c r="A26" t="s">
        <v>1669</v>
      </c>
      <c r="B26" t="s">
        <v>1670</v>
      </c>
      <c r="C26" s="8" t="s">
        <v>154</v>
      </c>
      <c r="D26">
        <v>3.78</v>
      </c>
      <c r="E26">
        <v>1.53</v>
      </c>
      <c r="F26" t="s">
        <v>907</v>
      </c>
      <c r="G26" s="16">
        <v>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1</v>
      </c>
      <c r="O26" s="16">
        <v>2</v>
      </c>
      <c r="P26" t="s">
        <v>1720</v>
      </c>
      <c r="Q26" t="s">
        <v>1613</v>
      </c>
      <c r="AA26" s="8"/>
      <c r="AB26" s="8"/>
      <c r="AC26" s="8"/>
      <c r="AE26" s="8"/>
      <c r="AF26" s="8"/>
    </row>
    <row r="27" spans="1:32" x14ac:dyDescent="0.15">
      <c r="A27" t="s">
        <v>1482</v>
      </c>
      <c r="B27" t="s">
        <v>1709</v>
      </c>
      <c r="C27" s="8" t="s">
        <v>154</v>
      </c>
      <c r="D27">
        <v>4.88</v>
      </c>
      <c r="E27">
        <v>1.6</v>
      </c>
      <c r="F27" t="s">
        <v>909</v>
      </c>
      <c r="G27" s="16">
        <v>2</v>
      </c>
      <c r="H27" s="16">
        <v>1</v>
      </c>
      <c r="I27" s="16">
        <v>1</v>
      </c>
      <c r="J27" s="16">
        <v>0</v>
      </c>
      <c r="K27" s="16">
        <v>0</v>
      </c>
      <c r="L27" s="16">
        <v>1</v>
      </c>
      <c r="M27" s="16">
        <v>2</v>
      </c>
      <c r="N27" s="16">
        <v>3</v>
      </c>
      <c r="O27" s="16">
        <v>2</v>
      </c>
      <c r="P27" t="s">
        <v>1396</v>
      </c>
      <c r="Q27" t="s">
        <v>1617</v>
      </c>
      <c r="AA27" s="8"/>
      <c r="AB27" s="8"/>
      <c r="AC27" s="8"/>
      <c r="AE27" s="8"/>
      <c r="AF27" s="8"/>
    </row>
    <row r="28" spans="1:32" x14ac:dyDescent="0.15">
      <c r="A28" t="s">
        <v>1696</v>
      </c>
      <c r="B28" t="s">
        <v>1670</v>
      </c>
      <c r="C28" s="8" t="s">
        <v>154</v>
      </c>
      <c r="D28">
        <v>1.76</v>
      </c>
      <c r="E28">
        <v>0.72</v>
      </c>
      <c r="F28" t="s">
        <v>1967</v>
      </c>
      <c r="G28" s="16">
        <v>2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2</v>
      </c>
      <c r="O28" s="16">
        <v>2</v>
      </c>
      <c r="P28" t="s">
        <v>1393</v>
      </c>
      <c r="Q28" t="s">
        <v>1676</v>
      </c>
      <c r="AA28" s="8"/>
      <c r="AB28" s="8"/>
      <c r="AC28" s="8"/>
      <c r="AE28" s="8"/>
      <c r="AF28" s="8"/>
    </row>
    <row r="29" spans="1:32" x14ac:dyDescent="0.15">
      <c r="A29" t="s">
        <v>1779</v>
      </c>
      <c r="B29" t="s">
        <v>1689</v>
      </c>
      <c r="C29" s="8" t="s">
        <v>154</v>
      </c>
      <c r="D29">
        <v>4.24</v>
      </c>
      <c r="E29">
        <v>1.53</v>
      </c>
      <c r="F29" t="s">
        <v>914</v>
      </c>
      <c r="G29" s="16">
        <v>3</v>
      </c>
      <c r="H29" s="16">
        <v>1</v>
      </c>
      <c r="I29" s="16">
        <v>1</v>
      </c>
      <c r="J29" s="16">
        <v>0</v>
      </c>
      <c r="K29" s="16">
        <v>0</v>
      </c>
      <c r="L29" s="16">
        <v>1</v>
      </c>
      <c r="M29" s="16">
        <v>2</v>
      </c>
      <c r="N29" s="16">
        <v>2</v>
      </c>
      <c r="O29" s="16">
        <v>2</v>
      </c>
      <c r="P29" t="s">
        <v>1393</v>
      </c>
      <c r="Q29" t="s">
        <v>1613</v>
      </c>
      <c r="R29" t="s">
        <v>2079</v>
      </c>
      <c r="AA29" s="8"/>
      <c r="AB29" s="8"/>
      <c r="AC29" s="8"/>
      <c r="AE29" s="8"/>
      <c r="AF29" s="8"/>
    </row>
    <row r="30" spans="1:32" x14ac:dyDescent="0.15">
      <c r="A30" t="s">
        <v>1798</v>
      </c>
      <c r="B30" t="s">
        <v>1670</v>
      </c>
      <c r="C30" s="8" t="s">
        <v>154</v>
      </c>
      <c r="D30">
        <v>1.54</v>
      </c>
      <c r="E30">
        <v>0.95</v>
      </c>
      <c r="F30" t="s">
        <v>2174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2</v>
      </c>
      <c r="O30" s="16">
        <v>2</v>
      </c>
      <c r="P30" t="s">
        <v>1393</v>
      </c>
      <c r="Q30" t="s">
        <v>1613</v>
      </c>
      <c r="AA30" s="8"/>
      <c r="AB30" s="8"/>
      <c r="AC30" s="8"/>
      <c r="AE30" s="8"/>
      <c r="AF30" s="8"/>
    </row>
    <row r="31" spans="1:32" x14ac:dyDescent="0.15">
      <c r="A31" t="s">
        <v>1939</v>
      </c>
      <c r="B31" t="s">
        <v>1670</v>
      </c>
      <c r="C31" s="8" t="s">
        <v>154</v>
      </c>
      <c r="D31">
        <v>4.79</v>
      </c>
      <c r="E31">
        <v>1.83</v>
      </c>
      <c r="F31" t="s">
        <v>917</v>
      </c>
      <c r="G31" s="16">
        <v>1</v>
      </c>
      <c r="H31" s="16">
        <v>3</v>
      </c>
      <c r="I31" s="16">
        <v>1</v>
      </c>
      <c r="J31" s="16">
        <v>0</v>
      </c>
      <c r="K31" s="16">
        <v>0</v>
      </c>
      <c r="L31" s="16">
        <v>1</v>
      </c>
      <c r="M31" s="16">
        <v>1</v>
      </c>
      <c r="N31" s="16">
        <v>1</v>
      </c>
      <c r="O31" s="16">
        <v>1</v>
      </c>
      <c r="P31" t="s">
        <v>1396</v>
      </c>
      <c r="Q31" t="s">
        <v>1617</v>
      </c>
      <c r="R31" t="s">
        <v>2166</v>
      </c>
      <c r="AA31" s="8"/>
      <c r="AB31" s="8"/>
      <c r="AC31" s="8"/>
      <c r="AE31" s="8"/>
      <c r="AF31" s="8"/>
    </row>
    <row r="32" spans="1:32" x14ac:dyDescent="0.15">
      <c r="A32" t="s">
        <v>659</v>
      </c>
      <c r="B32" t="s">
        <v>588</v>
      </c>
      <c r="C32" s="8" t="s">
        <v>154</v>
      </c>
      <c r="D32">
        <f>0.42*13.28</f>
        <v>5.5775999999999994</v>
      </c>
      <c r="E32">
        <f>0.42*5.47</f>
        <v>2.2973999999999997</v>
      </c>
      <c r="F32" t="s">
        <v>589</v>
      </c>
      <c r="G32" s="16">
        <v>2</v>
      </c>
      <c r="H32" s="16">
        <v>2</v>
      </c>
      <c r="I32" s="16">
        <v>1</v>
      </c>
      <c r="J32" s="16">
        <v>0</v>
      </c>
      <c r="K32" s="16">
        <v>0</v>
      </c>
      <c r="L32" s="16">
        <v>1</v>
      </c>
      <c r="M32" s="16">
        <v>1</v>
      </c>
      <c r="N32" s="16">
        <v>2</v>
      </c>
      <c r="O32" s="16">
        <v>1</v>
      </c>
      <c r="P32" t="s">
        <v>694</v>
      </c>
      <c r="Q32" t="s">
        <v>660</v>
      </c>
      <c r="R32" t="s">
        <v>2272</v>
      </c>
      <c r="AA32" s="8"/>
      <c r="AB32" s="8"/>
      <c r="AC32" s="8"/>
      <c r="AE32" s="8"/>
      <c r="AF32" s="8"/>
    </row>
    <row r="33" spans="1:32" x14ac:dyDescent="0.15">
      <c r="A33" t="s">
        <v>619</v>
      </c>
      <c r="B33" t="s">
        <v>654</v>
      </c>
      <c r="C33" s="8" t="s">
        <v>154</v>
      </c>
      <c r="D33">
        <f>0.42*7.99</f>
        <v>3.3557999999999999</v>
      </c>
      <c r="E33">
        <f>0.42*2.63</f>
        <v>1.1045999999999998</v>
      </c>
      <c r="F33" t="s">
        <v>655</v>
      </c>
      <c r="G33" s="16">
        <v>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1</v>
      </c>
      <c r="N33" s="16">
        <v>2</v>
      </c>
      <c r="O33" s="16">
        <v>2</v>
      </c>
      <c r="P33" t="s">
        <v>798</v>
      </c>
      <c r="Q33" t="s">
        <v>799</v>
      </c>
      <c r="R33" t="s">
        <v>2273</v>
      </c>
      <c r="AA33" s="8"/>
      <c r="AB33" s="8"/>
      <c r="AC33" s="8"/>
      <c r="AE33" s="8"/>
      <c r="AF33" s="8"/>
    </row>
    <row r="34" spans="1:32" x14ac:dyDescent="0.15">
      <c r="A34" t="s">
        <v>618</v>
      </c>
      <c r="B34" t="s">
        <v>588</v>
      </c>
      <c r="C34" s="8" t="s">
        <v>154</v>
      </c>
      <c r="D34">
        <f>0.42*3.6</f>
        <v>1.512</v>
      </c>
      <c r="E34">
        <f>0.42*1.33</f>
        <v>0.55859999999999999</v>
      </c>
      <c r="F34" t="s">
        <v>655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2</v>
      </c>
      <c r="O34" s="16">
        <v>2</v>
      </c>
      <c r="P34" t="s">
        <v>798</v>
      </c>
      <c r="Q34" t="s">
        <v>799</v>
      </c>
      <c r="R34" t="s">
        <v>2274</v>
      </c>
      <c r="AA34" s="8"/>
      <c r="AB34" s="8"/>
      <c r="AC34" s="8"/>
      <c r="AE34" s="8"/>
      <c r="AF34" s="8"/>
    </row>
    <row r="35" spans="1:32" x14ac:dyDescent="0.15">
      <c r="A35" t="s">
        <v>707</v>
      </c>
      <c r="B35" t="s">
        <v>654</v>
      </c>
      <c r="C35" s="8" t="s">
        <v>154</v>
      </c>
      <c r="D35">
        <v>4.28</v>
      </c>
      <c r="E35">
        <f>0.42*5.07</f>
        <v>2.1294</v>
      </c>
      <c r="F35" s="2" t="s">
        <v>708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1</v>
      </c>
      <c r="M35" s="16">
        <v>1</v>
      </c>
      <c r="N35" s="16">
        <v>2</v>
      </c>
      <c r="O35" s="16">
        <v>2</v>
      </c>
      <c r="P35" t="s">
        <v>798</v>
      </c>
      <c r="Q35" t="s">
        <v>799</v>
      </c>
      <c r="AA35" s="8"/>
      <c r="AB35" s="8"/>
      <c r="AC35" s="8"/>
      <c r="AE35" s="8"/>
      <c r="AF35" s="8"/>
    </row>
    <row r="36" spans="1:32" x14ac:dyDescent="0.15">
      <c r="A36" t="s">
        <v>711</v>
      </c>
      <c r="B36" t="s">
        <v>588</v>
      </c>
      <c r="C36" s="8" t="s">
        <v>154</v>
      </c>
      <c r="D36">
        <v>4.82</v>
      </c>
      <c r="E36">
        <v>1.94</v>
      </c>
      <c r="F36" t="s">
        <v>712</v>
      </c>
      <c r="G36" s="16">
        <v>3</v>
      </c>
      <c r="H36" s="16">
        <v>3</v>
      </c>
      <c r="I36" s="16">
        <v>1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2</v>
      </c>
      <c r="P36" t="s">
        <v>798</v>
      </c>
      <c r="Q36" t="s">
        <v>765</v>
      </c>
      <c r="R36" t="s">
        <v>2380</v>
      </c>
      <c r="AA36" s="8"/>
      <c r="AB36" s="8"/>
      <c r="AC36" s="8"/>
      <c r="AE36" s="8"/>
      <c r="AF36" s="8"/>
    </row>
    <row r="37" spans="1:32" x14ac:dyDescent="0.15">
      <c r="A37" t="s">
        <v>577</v>
      </c>
      <c r="B37" t="s">
        <v>654</v>
      </c>
      <c r="C37" s="8" t="s">
        <v>154</v>
      </c>
      <c r="D37">
        <f>0.42*8.45</f>
        <v>3.5489999999999995</v>
      </c>
      <c r="E37">
        <f>0.42*3.43</f>
        <v>1.4406000000000001</v>
      </c>
      <c r="F37" t="s">
        <v>578</v>
      </c>
      <c r="G37" s="16">
        <v>4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</v>
      </c>
      <c r="N37" s="16">
        <v>2</v>
      </c>
      <c r="O37" s="16">
        <v>2</v>
      </c>
      <c r="P37" t="s">
        <v>798</v>
      </c>
      <c r="Q37" t="s">
        <v>799</v>
      </c>
      <c r="AA37" s="8"/>
      <c r="AB37" s="8"/>
      <c r="AC37" s="8"/>
      <c r="AE37" s="8"/>
      <c r="AF37" s="8"/>
    </row>
    <row r="38" spans="1:32" x14ac:dyDescent="0.15">
      <c r="A38" t="s">
        <v>582</v>
      </c>
      <c r="B38" t="s">
        <v>654</v>
      </c>
      <c r="C38" s="8" t="s">
        <v>154</v>
      </c>
      <c r="D38">
        <f>0.42*5.05</f>
        <v>2.121</v>
      </c>
      <c r="E38">
        <f>0.42*2.7</f>
        <v>1.1340000000000001</v>
      </c>
      <c r="F38" t="s">
        <v>583</v>
      </c>
      <c r="G38" s="16">
        <v>2</v>
      </c>
      <c r="H38" s="16">
        <v>4</v>
      </c>
      <c r="I38" s="16">
        <v>1</v>
      </c>
      <c r="J38" s="16">
        <v>0</v>
      </c>
      <c r="K38" s="16">
        <v>0</v>
      </c>
      <c r="L38" s="16">
        <v>0</v>
      </c>
      <c r="M38" s="16">
        <v>0</v>
      </c>
      <c r="N38" s="16">
        <v>1</v>
      </c>
      <c r="O38" s="16">
        <v>2</v>
      </c>
      <c r="P38" t="s">
        <v>694</v>
      </c>
      <c r="Q38" t="s">
        <v>765</v>
      </c>
      <c r="AA38" s="8"/>
      <c r="AB38" s="8"/>
      <c r="AC38" s="8"/>
      <c r="AE38" s="8"/>
      <c r="AF38" s="8"/>
    </row>
    <row r="39" spans="1:32" x14ac:dyDescent="0.15">
      <c r="A39" t="s">
        <v>702</v>
      </c>
      <c r="B39" t="s">
        <v>628</v>
      </c>
      <c r="C39" s="8" t="s">
        <v>154</v>
      </c>
      <c r="D39">
        <v>1.49</v>
      </c>
      <c r="E39">
        <v>0.52</v>
      </c>
      <c r="F39" t="s">
        <v>374</v>
      </c>
      <c r="G39" s="16">
        <v>2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</v>
      </c>
      <c r="N39" s="16">
        <v>1</v>
      </c>
      <c r="O39" s="16">
        <v>1</v>
      </c>
      <c r="P39" t="s">
        <v>798</v>
      </c>
      <c r="Q39" t="s">
        <v>799</v>
      </c>
      <c r="R39" t="s">
        <v>2398</v>
      </c>
      <c r="AA39" s="8"/>
      <c r="AB39" s="8"/>
      <c r="AC39" s="8"/>
      <c r="AE39" s="8"/>
      <c r="AF39" s="8"/>
    </row>
    <row r="40" spans="1:32" x14ac:dyDescent="0.15">
      <c r="A40" t="s">
        <v>372</v>
      </c>
      <c r="B40" t="s">
        <v>588</v>
      </c>
      <c r="C40" s="8" t="s">
        <v>154</v>
      </c>
      <c r="D40">
        <f>0.42*7.05</f>
        <v>2.9609999999999999</v>
      </c>
      <c r="E40">
        <f>0.42*3.26</f>
        <v>1.3691999999999998</v>
      </c>
      <c r="F40" t="s">
        <v>373</v>
      </c>
      <c r="G40" s="16">
        <v>2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16">
        <v>2</v>
      </c>
      <c r="O40" s="16">
        <v>2</v>
      </c>
      <c r="P40" t="s">
        <v>798</v>
      </c>
      <c r="Q40" t="s">
        <v>799</v>
      </c>
      <c r="R40" t="s">
        <v>2429</v>
      </c>
      <c r="AA40" s="8"/>
      <c r="AB40" s="8"/>
      <c r="AC40" s="8"/>
      <c r="AE40" s="8"/>
      <c r="AF40" s="8"/>
    </row>
    <row r="41" spans="1:32" x14ac:dyDescent="0.15">
      <c r="A41" t="s">
        <v>384</v>
      </c>
      <c r="B41" t="s">
        <v>633</v>
      </c>
      <c r="C41" s="8" t="s">
        <v>154</v>
      </c>
      <c r="D41">
        <f>0.42*9.63</f>
        <v>4.0446</v>
      </c>
      <c r="E41">
        <f>0.42*3.56</f>
        <v>1.4951999999999999</v>
      </c>
      <c r="F41" t="s">
        <v>521</v>
      </c>
      <c r="G41" s="16">
        <v>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</v>
      </c>
      <c r="N41" s="16">
        <v>2</v>
      </c>
      <c r="O41" s="16">
        <v>2</v>
      </c>
      <c r="P41" t="s">
        <v>798</v>
      </c>
      <c r="Q41" t="s">
        <v>799</v>
      </c>
      <c r="AA41" s="8"/>
      <c r="AB41" s="8"/>
      <c r="AC41" s="8"/>
      <c r="AE41" s="8"/>
      <c r="AF41" s="8"/>
    </row>
    <row r="42" spans="1:32" x14ac:dyDescent="0.15">
      <c r="A42" t="s">
        <v>537</v>
      </c>
      <c r="B42" t="s">
        <v>654</v>
      </c>
      <c r="C42" s="8" t="s">
        <v>154</v>
      </c>
      <c r="D42">
        <v>3.09</v>
      </c>
      <c r="E42">
        <v>1.52</v>
      </c>
      <c r="F42" t="s">
        <v>307</v>
      </c>
      <c r="G42" s="16">
        <v>2</v>
      </c>
      <c r="H42" s="16">
        <v>4</v>
      </c>
      <c r="I42" s="16">
        <v>2</v>
      </c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>
        <v>2</v>
      </c>
      <c r="P42" t="s">
        <v>798</v>
      </c>
      <c r="Q42" t="s">
        <v>765</v>
      </c>
      <c r="AA42" s="8"/>
      <c r="AB42" s="8"/>
      <c r="AC42" s="8"/>
      <c r="AE42" s="8"/>
      <c r="AF42" s="8"/>
    </row>
    <row r="43" spans="1:32" x14ac:dyDescent="0.15">
      <c r="A43" t="s">
        <v>840</v>
      </c>
      <c r="B43" t="s">
        <v>846</v>
      </c>
      <c r="C43" s="8" t="s">
        <v>154</v>
      </c>
      <c r="D43">
        <v>2.3199999999999998</v>
      </c>
      <c r="E43">
        <v>0.71</v>
      </c>
      <c r="F43" t="s">
        <v>825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  <c r="L43" s="16">
        <v>1</v>
      </c>
      <c r="M43" s="16">
        <v>1</v>
      </c>
      <c r="N43" s="16">
        <v>1</v>
      </c>
      <c r="O43" s="16">
        <v>2</v>
      </c>
      <c r="P43" t="s">
        <v>802</v>
      </c>
      <c r="Q43" t="s">
        <v>889</v>
      </c>
      <c r="AA43" s="8"/>
      <c r="AB43" s="8"/>
      <c r="AC43" s="8"/>
      <c r="AE43" s="8"/>
      <c r="AF43" s="8"/>
    </row>
    <row r="44" spans="1:32" x14ac:dyDescent="0.15">
      <c r="A44" t="s">
        <v>1611</v>
      </c>
      <c r="B44" t="s">
        <v>1612</v>
      </c>
      <c r="C44" s="8" t="s">
        <v>154</v>
      </c>
      <c r="D44">
        <v>2.97</v>
      </c>
      <c r="E44">
        <v>0.93</v>
      </c>
      <c r="F44" t="s">
        <v>2240</v>
      </c>
      <c r="G44" s="16">
        <v>2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6">
        <v>1</v>
      </c>
      <c r="O44" s="16">
        <v>1</v>
      </c>
      <c r="P44" t="s">
        <v>1393</v>
      </c>
      <c r="Q44" t="s">
        <v>1613</v>
      </c>
      <c r="AA44" s="8"/>
      <c r="AB44" s="8"/>
      <c r="AC44" s="8"/>
      <c r="AE44" s="8"/>
      <c r="AF44" s="8"/>
    </row>
    <row r="45" spans="1:32" x14ac:dyDescent="0.15">
      <c r="A45" s="8" t="s">
        <v>1677</v>
      </c>
      <c r="B45" s="8" t="s">
        <v>1678</v>
      </c>
      <c r="C45" s="8" t="s">
        <v>154</v>
      </c>
      <c r="D45" s="8">
        <v>2.61</v>
      </c>
      <c r="E45" s="8">
        <v>0.97</v>
      </c>
      <c r="F45" s="8" t="s">
        <v>2021</v>
      </c>
      <c r="G45" s="16">
        <v>2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2</v>
      </c>
      <c r="P45" s="8" t="s">
        <v>1679</v>
      </c>
      <c r="Q45" s="8" t="s">
        <v>1680</v>
      </c>
      <c r="R45" s="8" t="s">
        <v>2238</v>
      </c>
      <c r="AA45" s="8"/>
      <c r="AB45" s="8"/>
      <c r="AC45" s="8"/>
      <c r="AE45" s="8"/>
      <c r="AF45" s="8"/>
    </row>
    <row r="46" spans="1:32" x14ac:dyDescent="0.15">
      <c r="A46" t="s">
        <v>1960</v>
      </c>
      <c r="B46" t="s">
        <v>1612</v>
      </c>
      <c r="C46" s="8" t="s">
        <v>154</v>
      </c>
      <c r="D46">
        <v>4.5199999999999996</v>
      </c>
      <c r="E46">
        <v>2.42</v>
      </c>
      <c r="F46" t="s">
        <v>2125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</v>
      </c>
      <c r="N46" s="16">
        <v>2</v>
      </c>
      <c r="O46" s="16">
        <v>2</v>
      </c>
      <c r="P46" t="s">
        <v>1393</v>
      </c>
      <c r="Q46" t="s">
        <v>1613</v>
      </c>
      <c r="R46" t="s">
        <v>2328</v>
      </c>
      <c r="AA46" s="8"/>
      <c r="AB46" s="8"/>
      <c r="AC46" s="8"/>
      <c r="AE46" s="8"/>
      <c r="AF46" s="8"/>
    </row>
    <row r="47" spans="1:32" x14ac:dyDescent="0.15">
      <c r="A47" t="s">
        <v>1555</v>
      </c>
      <c r="B47" t="s">
        <v>1562</v>
      </c>
      <c r="C47" s="8" t="s">
        <v>158</v>
      </c>
      <c r="D47">
        <v>4.4800000000000004</v>
      </c>
      <c r="E47">
        <v>1.31</v>
      </c>
      <c r="F47" t="s">
        <v>2181</v>
      </c>
      <c r="G47" s="16">
        <v>4</v>
      </c>
      <c r="H47" s="16">
        <v>2</v>
      </c>
      <c r="I47" s="16">
        <v>2</v>
      </c>
      <c r="J47" s="16">
        <v>2</v>
      </c>
      <c r="K47" s="16">
        <v>2</v>
      </c>
      <c r="L47" s="16">
        <v>1</v>
      </c>
      <c r="M47" s="16">
        <v>1</v>
      </c>
      <c r="N47" s="16">
        <v>2</v>
      </c>
      <c r="O47" s="16">
        <v>2</v>
      </c>
      <c r="P47" t="s">
        <v>1514</v>
      </c>
      <c r="Q47" t="s">
        <v>1515</v>
      </c>
      <c r="AA47" s="8"/>
      <c r="AB47" s="8"/>
      <c r="AC47" s="8"/>
      <c r="AE47" s="8"/>
      <c r="AF47" s="8"/>
    </row>
    <row r="48" spans="1:32" x14ac:dyDescent="0.15">
      <c r="A48" t="s">
        <v>1403</v>
      </c>
      <c r="B48" t="s">
        <v>1848</v>
      </c>
      <c r="C48" s="8" t="s">
        <v>158</v>
      </c>
      <c r="D48">
        <v>3.3</v>
      </c>
      <c r="E48">
        <v>1.1100000000000001</v>
      </c>
      <c r="F48" t="s">
        <v>2015</v>
      </c>
      <c r="G48" s="16">
        <v>3</v>
      </c>
      <c r="H48" s="16">
        <v>4</v>
      </c>
      <c r="I48" s="16">
        <v>4</v>
      </c>
      <c r="J48" s="16">
        <v>1</v>
      </c>
      <c r="K48" s="16">
        <v>2</v>
      </c>
      <c r="L48" s="16">
        <v>0</v>
      </c>
      <c r="M48" s="16">
        <v>1</v>
      </c>
      <c r="N48" s="16">
        <v>1</v>
      </c>
      <c r="O48" s="16">
        <v>2</v>
      </c>
      <c r="P48" t="s">
        <v>1514</v>
      </c>
      <c r="Q48" t="s">
        <v>1515</v>
      </c>
      <c r="R48" t="s">
        <v>2251</v>
      </c>
      <c r="AA48" s="8"/>
      <c r="AB48" s="8"/>
      <c r="AC48" s="8"/>
      <c r="AE48" s="8"/>
      <c r="AF48" s="8"/>
    </row>
    <row r="49" spans="1:32" x14ac:dyDescent="0.15">
      <c r="A49" t="s">
        <v>1076</v>
      </c>
      <c r="B49" t="s">
        <v>2200</v>
      </c>
      <c r="C49" s="8" t="s">
        <v>158</v>
      </c>
      <c r="D49">
        <v>4.01</v>
      </c>
      <c r="E49">
        <v>1.21</v>
      </c>
      <c r="F49" t="s">
        <v>2199</v>
      </c>
      <c r="G49" s="16">
        <v>2</v>
      </c>
      <c r="H49" s="16">
        <v>4</v>
      </c>
      <c r="I49" s="16">
        <v>1</v>
      </c>
      <c r="J49" s="16">
        <v>0</v>
      </c>
      <c r="K49" s="16">
        <v>0</v>
      </c>
      <c r="L49" s="16">
        <v>0</v>
      </c>
      <c r="M49" s="16">
        <v>1</v>
      </c>
      <c r="N49" s="16">
        <v>1</v>
      </c>
      <c r="O49" s="16">
        <v>2</v>
      </c>
      <c r="P49" t="s">
        <v>1081</v>
      </c>
      <c r="Q49" t="s">
        <v>1041</v>
      </c>
      <c r="AA49" s="8"/>
      <c r="AB49" s="8"/>
      <c r="AC49" s="8"/>
      <c r="AE49" s="8"/>
      <c r="AF49" s="8"/>
    </row>
    <row r="50" spans="1:32" x14ac:dyDescent="0.15">
      <c r="A50" t="s">
        <v>1000</v>
      </c>
      <c r="B50" t="s">
        <v>2200</v>
      </c>
      <c r="C50" s="8" t="s">
        <v>158</v>
      </c>
      <c r="D50">
        <v>5.29</v>
      </c>
      <c r="E50">
        <v>1.52</v>
      </c>
      <c r="F50" t="s">
        <v>2199</v>
      </c>
      <c r="G50" s="16">
        <v>4</v>
      </c>
      <c r="H50" s="16">
        <v>2</v>
      </c>
      <c r="I50" s="16">
        <v>1</v>
      </c>
      <c r="J50" s="16">
        <v>0</v>
      </c>
      <c r="K50" s="16">
        <v>0</v>
      </c>
      <c r="L50" s="16">
        <v>0</v>
      </c>
      <c r="M50" s="16">
        <v>1</v>
      </c>
      <c r="N50" s="16">
        <v>1</v>
      </c>
      <c r="O50" s="16">
        <v>2</v>
      </c>
      <c r="P50" t="s">
        <v>1111</v>
      </c>
      <c r="Q50" t="s">
        <v>812</v>
      </c>
      <c r="AA50" s="8"/>
      <c r="AB50" s="8"/>
      <c r="AC50" s="8"/>
      <c r="AE50" s="8"/>
      <c r="AF50" s="8"/>
    </row>
    <row r="51" spans="1:32" x14ac:dyDescent="0.15">
      <c r="A51" t="s">
        <v>1037</v>
      </c>
      <c r="B51" t="s">
        <v>1038</v>
      </c>
      <c r="C51" s="8" t="s">
        <v>158</v>
      </c>
      <c r="D51">
        <v>5.01</v>
      </c>
      <c r="E51">
        <v>1.34</v>
      </c>
      <c r="F51" t="s">
        <v>1817</v>
      </c>
      <c r="G51" s="16">
        <v>3</v>
      </c>
      <c r="H51" s="16">
        <v>5</v>
      </c>
      <c r="I51" s="16">
        <v>4</v>
      </c>
      <c r="J51" s="16">
        <v>1</v>
      </c>
      <c r="K51" s="16">
        <v>2</v>
      </c>
      <c r="L51" s="16">
        <v>2</v>
      </c>
      <c r="M51" s="16">
        <v>1</v>
      </c>
      <c r="N51" s="16">
        <v>1</v>
      </c>
      <c r="O51" s="16">
        <v>2</v>
      </c>
      <c r="P51" t="s">
        <v>888</v>
      </c>
      <c r="Q51" t="s">
        <v>886</v>
      </c>
      <c r="AA51" s="8"/>
      <c r="AB51" s="8"/>
      <c r="AC51" s="8"/>
      <c r="AE51" s="8"/>
      <c r="AF51" s="8"/>
    </row>
    <row r="52" spans="1:32" x14ac:dyDescent="0.15">
      <c r="A52" t="s">
        <v>1014</v>
      </c>
      <c r="B52" t="s">
        <v>1015</v>
      </c>
      <c r="C52" s="8" t="s">
        <v>158</v>
      </c>
      <c r="D52">
        <v>4.42</v>
      </c>
      <c r="E52">
        <v>1.22</v>
      </c>
      <c r="F52" t="s">
        <v>850</v>
      </c>
      <c r="G52" s="16">
        <v>4</v>
      </c>
      <c r="H52" s="16">
        <v>4</v>
      </c>
      <c r="I52" s="16">
        <v>4</v>
      </c>
      <c r="J52" s="16">
        <v>2</v>
      </c>
      <c r="K52" s="16">
        <v>2</v>
      </c>
      <c r="L52" s="16">
        <v>2</v>
      </c>
      <c r="M52" s="16">
        <v>1</v>
      </c>
      <c r="N52" s="16">
        <v>1</v>
      </c>
      <c r="O52" s="16">
        <v>2</v>
      </c>
      <c r="P52" t="s">
        <v>802</v>
      </c>
      <c r="Q52" t="s">
        <v>889</v>
      </c>
      <c r="R52" t="s">
        <v>2134</v>
      </c>
      <c r="AA52" s="8"/>
      <c r="AB52" s="8"/>
      <c r="AC52" s="8"/>
      <c r="AE52" s="8"/>
      <c r="AF52" s="8"/>
    </row>
    <row r="53" spans="1:32" x14ac:dyDescent="0.15">
      <c r="A53" t="s">
        <v>1531</v>
      </c>
      <c r="B53" t="s">
        <v>1532</v>
      </c>
      <c r="C53" s="8" t="s">
        <v>158</v>
      </c>
      <c r="D53">
        <v>2.82</v>
      </c>
      <c r="E53">
        <v>1.27</v>
      </c>
      <c r="F53" t="s">
        <v>2190</v>
      </c>
      <c r="G53" s="16">
        <v>4</v>
      </c>
      <c r="H53" s="16">
        <v>2</v>
      </c>
      <c r="I53" s="16">
        <v>4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2</v>
      </c>
      <c r="P53" t="s">
        <v>1393</v>
      </c>
      <c r="Q53" t="s">
        <v>1533</v>
      </c>
      <c r="AA53" s="8"/>
      <c r="AB53" s="8"/>
      <c r="AC53" s="8"/>
      <c r="AE53" s="8"/>
      <c r="AF53" s="8"/>
    </row>
    <row r="54" spans="1:32" x14ac:dyDescent="0.15">
      <c r="A54" t="s">
        <v>1714</v>
      </c>
      <c r="B54" t="s">
        <v>1715</v>
      </c>
      <c r="C54" s="8" t="s">
        <v>158</v>
      </c>
      <c r="D54">
        <v>4.8899999999999997</v>
      </c>
      <c r="E54">
        <v>1.2</v>
      </c>
      <c r="F54" t="s">
        <v>940</v>
      </c>
      <c r="G54" s="16">
        <v>4</v>
      </c>
      <c r="H54" s="16">
        <v>4</v>
      </c>
      <c r="I54" s="16">
        <v>4</v>
      </c>
      <c r="J54" s="16">
        <v>2</v>
      </c>
      <c r="K54" s="16">
        <v>2</v>
      </c>
      <c r="L54" s="16">
        <v>0</v>
      </c>
      <c r="M54" s="16">
        <v>1</v>
      </c>
      <c r="N54" s="16">
        <v>2</v>
      </c>
      <c r="O54" s="16">
        <v>2</v>
      </c>
      <c r="P54" t="s">
        <v>1393</v>
      </c>
      <c r="Q54" t="s">
        <v>1613</v>
      </c>
      <c r="R54" t="s">
        <v>1985</v>
      </c>
      <c r="AA54" s="8"/>
      <c r="AB54" s="8"/>
      <c r="AC54" s="8"/>
      <c r="AE54" s="8"/>
      <c r="AF54" s="8"/>
    </row>
    <row r="55" spans="1:32" x14ac:dyDescent="0.15">
      <c r="A55" t="s">
        <v>1849</v>
      </c>
      <c r="B55" t="s">
        <v>1532</v>
      </c>
      <c r="C55" s="8" t="s">
        <v>158</v>
      </c>
      <c r="D55">
        <v>3.26</v>
      </c>
      <c r="E55">
        <v>1.3</v>
      </c>
      <c r="F55" t="s">
        <v>2179</v>
      </c>
      <c r="G55" s="16">
        <v>3</v>
      </c>
      <c r="H55" s="16">
        <v>5</v>
      </c>
      <c r="I55" s="16">
        <v>4</v>
      </c>
      <c r="J55" s="16">
        <v>0</v>
      </c>
      <c r="K55" s="16">
        <v>0</v>
      </c>
      <c r="L55" s="16">
        <v>0</v>
      </c>
      <c r="M55" s="16">
        <v>1</v>
      </c>
      <c r="N55" s="16">
        <v>1</v>
      </c>
      <c r="O55" s="16">
        <v>2</v>
      </c>
      <c r="P55" t="s">
        <v>1393</v>
      </c>
      <c r="Q55" t="s">
        <v>1613</v>
      </c>
      <c r="AA55" s="8"/>
      <c r="AB55" s="8"/>
      <c r="AC55" s="8"/>
      <c r="AE55" s="8"/>
      <c r="AF55" s="8"/>
    </row>
    <row r="56" spans="1:32" x14ac:dyDescent="0.15">
      <c r="A56" t="s">
        <v>1850</v>
      </c>
      <c r="B56" t="s">
        <v>1532</v>
      </c>
      <c r="C56" s="8" t="s">
        <v>158</v>
      </c>
      <c r="D56">
        <v>4.87</v>
      </c>
      <c r="E56">
        <v>1.29</v>
      </c>
      <c r="F56" t="s">
        <v>2179</v>
      </c>
      <c r="G56" s="16">
        <v>2</v>
      </c>
      <c r="H56" s="16">
        <v>5</v>
      </c>
      <c r="I56" s="16">
        <v>4</v>
      </c>
      <c r="J56" s="16">
        <v>0</v>
      </c>
      <c r="K56" s="16">
        <v>0</v>
      </c>
      <c r="L56" s="16">
        <v>1</v>
      </c>
      <c r="M56" s="16">
        <v>1</v>
      </c>
      <c r="N56" s="16">
        <v>1</v>
      </c>
      <c r="O56" s="16">
        <v>2</v>
      </c>
      <c r="P56" t="s">
        <v>1610</v>
      </c>
      <c r="Q56" t="s">
        <v>1613</v>
      </c>
      <c r="AA56" s="8"/>
      <c r="AB56" s="8"/>
      <c r="AC56" s="8"/>
      <c r="AE56" s="8"/>
      <c r="AF56" s="8"/>
    </row>
    <row r="57" spans="1:32" x14ac:dyDescent="0.15">
      <c r="A57" t="s">
        <v>1852</v>
      </c>
      <c r="B57" t="s">
        <v>1532</v>
      </c>
      <c r="C57" s="8" t="s">
        <v>158</v>
      </c>
      <c r="D57">
        <v>4.5999999999999996</v>
      </c>
      <c r="E57">
        <v>1.18</v>
      </c>
      <c r="F57" t="s">
        <v>2180</v>
      </c>
      <c r="G57" s="16">
        <v>4</v>
      </c>
      <c r="H57" s="16">
        <v>2</v>
      </c>
      <c r="I57" s="16">
        <v>4</v>
      </c>
      <c r="J57" s="16">
        <v>2</v>
      </c>
      <c r="K57" s="16">
        <v>2</v>
      </c>
      <c r="L57" s="16">
        <v>1</v>
      </c>
      <c r="M57" s="16">
        <v>1</v>
      </c>
      <c r="N57" s="16">
        <v>1</v>
      </c>
      <c r="O57" s="16">
        <v>2</v>
      </c>
      <c r="P57" t="s">
        <v>1393</v>
      </c>
      <c r="Q57" t="s">
        <v>1613</v>
      </c>
      <c r="AA57" s="8"/>
      <c r="AB57" s="8"/>
      <c r="AC57" s="8"/>
      <c r="AE57" s="8"/>
      <c r="AF57" s="8"/>
    </row>
    <row r="58" spans="1:32" x14ac:dyDescent="0.15">
      <c r="A58" t="s">
        <v>1959</v>
      </c>
      <c r="B58" t="s">
        <v>1839</v>
      </c>
      <c r="C58" s="8" t="s">
        <v>158</v>
      </c>
      <c r="D58">
        <v>3.34</v>
      </c>
      <c r="E58">
        <v>1.17</v>
      </c>
      <c r="F58" t="s">
        <v>2124</v>
      </c>
      <c r="G58" s="16">
        <v>4</v>
      </c>
      <c r="H58" s="16">
        <v>2</v>
      </c>
      <c r="I58" s="16">
        <v>1</v>
      </c>
      <c r="J58" s="16">
        <v>0</v>
      </c>
      <c r="K58" s="16">
        <v>0</v>
      </c>
      <c r="L58" s="16">
        <v>0</v>
      </c>
      <c r="M58" s="16">
        <v>1</v>
      </c>
      <c r="N58" s="16">
        <v>1</v>
      </c>
      <c r="O58" s="16">
        <v>2</v>
      </c>
      <c r="P58" t="s">
        <v>1393</v>
      </c>
      <c r="Q58" t="s">
        <v>1613</v>
      </c>
      <c r="R58" t="s">
        <v>2107</v>
      </c>
      <c r="AA58" s="8"/>
      <c r="AB58" s="8"/>
      <c r="AC58" s="8"/>
      <c r="AE58" s="8"/>
      <c r="AF58" s="8"/>
    </row>
    <row r="59" spans="1:32" x14ac:dyDescent="0.15">
      <c r="A59" t="s">
        <v>1521</v>
      </c>
      <c r="B59" t="s">
        <v>2066</v>
      </c>
      <c r="C59" s="8" t="s">
        <v>158</v>
      </c>
      <c r="D59">
        <v>3.15</v>
      </c>
      <c r="E59">
        <v>1.18</v>
      </c>
      <c r="F59" t="s">
        <v>2128</v>
      </c>
      <c r="G59" s="16">
        <v>4</v>
      </c>
      <c r="H59" s="16">
        <v>1</v>
      </c>
      <c r="I59" s="16">
        <v>1</v>
      </c>
      <c r="J59" s="16">
        <v>0</v>
      </c>
      <c r="K59" s="16">
        <v>0</v>
      </c>
      <c r="L59" s="16">
        <v>0</v>
      </c>
      <c r="M59" s="16">
        <v>0</v>
      </c>
      <c r="N59" s="16">
        <v>1</v>
      </c>
      <c r="O59" s="16">
        <v>2</v>
      </c>
      <c r="P59" t="s">
        <v>978</v>
      </c>
      <c r="Q59" t="s">
        <v>1522</v>
      </c>
      <c r="AA59" s="8"/>
      <c r="AB59" s="8"/>
      <c r="AC59" s="8"/>
      <c r="AE59" s="8"/>
      <c r="AF59" s="8"/>
    </row>
    <row r="60" spans="1:32" x14ac:dyDescent="0.15">
      <c r="A60" t="s">
        <v>2085</v>
      </c>
      <c r="B60" t="s">
        <v>961</v>
      </c>
      <c r="C60" s="8" t="s">
        <v>158</v>
      </c>
      <c r="D60">
        <v>2.93</v>
      </c>
      <c r="E60">
        <v>1.24</v>
      </c>
      <c r="F60" t="s">
        <v>2035</v>
      </c>
      <c r="G60" s="16">
        <v>0</v>
      </c>
      <c r="H60" s="16">
        <v>2</v>
      </c>
      <c r="I60" s="16">
        <v>2</v>
      </c>
      <c r="J60" s="16">
        <v>0</v>
      </c>
      <c r="K60" s="16">
        <v>0</v>
      </c>
      <c r="L60" s="16">
        <v>2</v>
      </c>
      <c r="M60" s="16">
        <v>1</v>
      </c>
      <c r="N60" s="16">
        <v>1</v>
      </c>
      <c r="O60" s="16">
        <v>2</v>
      </c>
      <c r="P60" t="s">
        <v>802</v>
      </c>
      <c r="Q60" t="s">
        <v>730</v>
      </c>
      <c r="R60" t="s">
        <v>2120</v>
      </c>
      <c r="AA60" s="8"/>
      <c r="AB60" s="8"/>
      <c r="AC60" s="8"/>
      <c r="AE60" s="8"/>
      <c r="AF60" s="8"/>
    </row>
    <row r="61" spans="1:32" x14ac:dyDescent="0.15">
      <c r="A61" t="s">
        <v>1952</v>
      </c>
      <c r="B61" t="s">
        <v>1871</v>
      </c>
      <c r="C61" s="8" t="s">
        <v>158</v>
      </c>
      <c r="D61">
        <v>1.48</v>
      </c>
      <c r="E61">
        <v>1.26</v>
      </c>
      <c r="F61" t="s">
        <v>1953</v>
      </c>
      <c r="G61" s="16">
        <v>3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2</v>
      </c>
      <c r="P61" t="s">
        <v>1393</v>
      </c>
      <c r="Q61" t="s">
        <v>1533</v>
      </c>
      <c r="R61" t="s">
        <v>1933</v>
      </c>
      <c r="AA61" s="8"/>
      <c r="AB61" s="8"/>
      <c r="AC61" s="8"/>
      <c r="AE61" s="8"/>
      <c r="AF61" s="8"/>
    </row>
    <row r="62" spans="1:32" x14ac:dyDescent="0.15">
      <c r="A62" t="s">
        <v>1197</v>
      </c>
      <c r="B62" t="s">
        <v>834</v>
      </c>
      <c r="C62" s="8" t="s">
        <v>158</v>
      </c>
      <c r="D62">
        <v>2.0099999999999998</v>
      </c>
      <c r="E62">
        <v>1.23</v>
      </c>
      <c r="F62" t="s">
        <v>859</v>
      </c>
      <c r="G62" s="16">
        <v>0</v>
      </c>
      <c r="H62" s="16">
        <v>3</v>
      </c>
      <c r="I62" s="16">
        <v>4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2</v>
      </c>
      <c r="P62" t="s">
        <v>1196</v>
      </c>
      <c r="Q62" t="s">
        <v>910</v>
      </c>
      <c r="R62" t="s">
        <v>2167</v>
      </c>
      <c r="AA62" s="8"/>
      <c r="AB62" s="8"/>
      <c r="AC62" s="8"/>
      <c r="AE62" s="8"/>
      <c r="AF62" s="8"/>
    </row>
    <row r="63" spans="1:32" x14ac:dyDescent="0.15">
      <c r="A63" t="s">
        <v>401</v>
      </c>
      <c r="B63" t="s">
        <v>402</v>
      </c>
      <c r="C63" s="8" t="s">
        <v>158</v>
      </c>
      <c r="D63">
        <v>3.81</v>
      </c>
      <c r="E63">
        <v>1.1299999999999999</v>
      </c>
      <c r="F63" t="s">
        <v>403</v>
      </c>
      <c r="G63" s="16">
        <v>3</v>
      </c>
      <c r="H63" s="16">
        <v>6</v>
      </c>
      <c r="I63" s="16">
        <v>4</v>
      </c>
      <c r="J63" s="16">
        <v>0</v>
      </c>
      <c r="K63" s="16">
        <v>0</v>
      </c>
      <c r="L63" s="16">
        <v>0</v>
      </c>
      <c r="M63" s="16">
        <v>2</v>
      </c>
      <c r="N63" s="16">
        <v>4</v>
      </c>
      <c r="O63" s="16">
        <v>3</v>
      </c>
      <c r="P63" t="s">
        <v>798</v>
      </c>
      <c r="Q63" t="s">
        <v>799</v>
      </c>
      <c r="R63" t="s">
        <v>2385</v>
      </c>
      <c r="AA63" s="8"/>
      <c r="AB63" s="8"/>
      <c r="AC63" s="8"/>
      <c r="AE63" s="8"/>
      <c r="AF63" s="8"/>
    </row>
    <row r="64" spans="1:32" x14ac:dyDescent="0.15">
      <c r="A64" t="s">
        <v>1858</v>
      </c>
      <c r="B64" t="s">
        <v>1459</v>
      </c>
      <c r="C64" s="8" t="s">
        <v>159</v>
      </c>
      <c r="D64">
        <v>5.33</v>
      </c>
      <c r="E64">
        <v>2.92</v>
      </c>
      <c r="F64" t="s">
        <v>1903</v>
      </c>
      <c r="G64" s="16">
        <v>4</v>
      </c>
      <c r="H64" s="16">
        <v>5</v>
      </c>
      <c r="I64" s="16">
        <v>2</v>
      </c>
      <c r="J64" s="16">
        <v>2</v>
      </c>
      <c r="K64" s="16">
        <v>2</v>
      </c>
      <c r="L64" s="16">
        <v>0</v>
      </c>
      <c r="M64" s="16">
        <v>1</v>
      </c>
      <c r="N64" s="16">
        <v>2</v>
      </c>
      <c r="O64" s="16">
        <v>0</v>
      </c>
      <c r="P64" t="s">
        <v>1514</v>
      </c>
      <c r="Q64" t="s">
        <v>1460</v>
      </c>
      <c r="AA64" s="8"/>
      <c r="AB64" s="8"/>
      <c r="AC64" s="8"/>
      <c r="AE64" s="8"/>
      <c r="AF64" s="8"/>
    </row>
    <row r="65" spans="1:32" x14ac:dyDescent="0.15">
      <c r="A65" s="8" t="s">
        <v>1991</v>
      </c>
      <c r="B65" s="8" t="s">
        <v>1525</v>
      </c>
      <c r="C65" s="8" t="s">
        <v>159</v>
      </c>
      <c r="D65" s="8">
        <v>2.54</v>
      </c>
      <c r="E65" s="8">
        <v>2.57</v>
      </c>
      <c r="F65" s="8" t="s">
        <v>1992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2</v>
      </c>
      <c r="P65" s="8" t="s">
        <v>1529</v>
      </c>
      <c r="Q65" s="8" t="s">
        <v>1526</v>
      </c>
      <c r="R65" s="8" t="s">
        <v>2263</v>
      </c>
      <c r="AA65" s="8"/>
      <c r="AB65" s="8"/>
      <c r="AC65" s="8"/>
      <c r="AE65" s="8"/>
      <c r="AF65" s="8"/>
    </row>
    <row r="66" spans="1:32" x14ac:dyDescent="0.15">
      <c r="A66" t="s">
        <v>921</v>
      </c>
      <c r="B66" t="s">
        <v>922</v>
      </c>
      <c r="C66" s="8" t="s">
        <v>159</v>
      </c>
      <c r="D66">
        <v>3.15</v>
      </c>
      <c r="E66">
        <v>3.01</v>
      </c>
      <c r="F66" t="s">
        <v>2214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2</v>
      </c>
      <c r="P66" t="s">
        <v>802</v>
      </c>
      <c r="Q66" t="s">
        <v>923</v>
      </c>
      <c r="AA66" s="8"/>
      <c r="AB66" s="8"/>
      <c r="AC66" s="8"/>
      <c r="AE66" s="8"/>
      <c r="AF66" s="8"/>
    </row>
    <row r="67" spans="1:32" x14ac:dyDescent="0.15">
      <c r="A67" t="s">
        <v>995</v>
      </c>
      <c r="B67" t="s">
        <v>912</v>
      </c>
      <c r="C67" s="8" t="s">
        <v>159</v>
      </c>
      <c r="D67">
        <v>9.56</v>
      </c>
      <c r="E67">
        <v>4.45</v>
      </c>
      <c r="F67" t="s">
        <v>1904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1</v>
      </c>
      <c r="N67" s="16">
        <v>2</v>
      </c>
      <c r="O67" s="16">
        <v>2</v>
      </c>
      <c r="P67" t="s">
        <v>802</v>
      </c>
      <c r="Q67" t="s">
        <v>730</v>
      </c>
      <c r="R67" t="s">
        <v>2285</v>
      </c>
      <c r="AA67" s="8"/>
      <c r="AB67" s="8"/>
      <c r="AC67" s="8"/>
      <c r="AE67" s="8"/>
      <c r="AF67" s="8"/>
    </row>
    <row r="68" spans="1:32" x14ac:dyDescent="0.15">
      <c r="A68" t="s">
        <v>2121</v>
      </c>
      <c r="B68" t="s">
        <v>1690</v>
      </c>
      <c r="C68" s="8" t="s">
        <v>159</v>
      </c>
      <c r="D68">
        <v>13.93</v>
      </c>
      <c r="E68">
        <v>3.93</v>
      </c>
      <c r="F68" t="s">
        <v>2039</v>
      </c>
      <c r="G68" s="16">
        <v>2</v>
      </c>
      <c r="H68" s="16">
        <v>6</v>
      </c>
      <c r="I68" s="16">
        <v>3</v>
      </c>
      <c r="J68" s="16">
        <v>1</v>
      </c>
      <c r="K68" s="16">
        <v>2</v>
      </c>
      <c r="L68" s="16">
        <v>1</v>
      </c>
      <c r="M68" s="16">
        <v>2</v>
      </c>
      <c r="N68" s="16">
        <v>2</v>
      </c>
      <c r="O68" s="16">
        <v>2</v>
      </c>
      <c r="P68" t="s">
        <v>1691</v>
      </c>
      <c r="Q68" t="s">
        <v>1613</v>
      </c>
      <c r="R68" t="s">
        <v>2294</v>
      </c>
      <c r="AA68" s="8"/>
      <c r="AB68" s="8"/>
      <c r="AC68" s="8"/>
      <c r="AE68" s="8"/>
      <c r="AF68" s="8"/>
    </row>
    <row r="69" spans="1:32" x14ac:dyDescent="0.15">
      <c r="A69" t="s">
        <v>2102</v>
      </c>
      <c r="B69" t="s">
        <v>1826</v>
      </c>
      <c r="C69" s="8" t="s">
        <v>159</v>
      </c>
      <c r="D69">
        <v>7.09</v>
      </c>
      <c r="E69">
        <v>6.71</v>
      </c>
      <c r="F69" t="s">
        <v>2112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t="s">
        <v>1393</v>
      </c>
      <c r="Q69" t="s">
        <v>1827</v>
      </c>
      <c r="R69" t="s">
        <v>1975</v>
      </c>
      <c r="AA69" s="8"/>
      <c r="AB69" s="8"/>
      <c r="AC69" s="8"/>
      <c r="AE69" s="8"/>
      <c r="AF69" s="8"/>
    </row>
    <row r="70" spans="1:32" x14ac:dyDescent="0.15">
      <c r="A70" t="s">
        <v>2148</v>
      </c>
      <c r="B70" t="s">
        <v>2149</v>
      </c>
      <c r="C70" s="8" t="s">
        <v>159</v>
      </c>
      <c r="D70">
        <f>0.42*15.88</f>
        <v>6.6696</v>
      </c>
      <c r="E70">
        <f>0.42*4.6</f>
        <v>1.9319999999999997</v>
      </c>
      <c r="F70" t="s">
        <v>2058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</v>
      </c>
      <c r="N70" s="16">
        <v>1</v>
      </c>
      <c r="O70" s="16">
        <v>2</v>
      </c>
      <c r="P70" t="s">
        <v>2150</v>
      </c>
      <c r="Q70" t="s">
        <v>2151</v>
      </c>
      <c r="R70" t="s">
        <v>2337</v>
      </c>
      <c r="AA70" s="8"/>
      <c r="AB70" s="8"/>
      <c r="AC70" s="8"/>
      <c r="AE70" s="8"/>
      <c r="AF70" s="8"/>
    </row>
    <row r="71" spans="1:32" x14ac:dyDescent="0.15">
      <c r="A71" t="s">
        <v>1891</v>
      </c>
      <c r="B71" t="s">
        <v>1892</v>
      </c>
      <c r="C71" s="8" t="s">
        <v>159</v>
      </c>
      <c r="D71">
        <v>9.56</v>
      </c>
      <c r="E71">
        <v>3.97</v>
      </c>
      <c r="F71" t="s">
        <v>1905</v>
      </c>
      <c r="G71" s="16">
        <v>0</v>
      </c>
      <c r="H71" s="16">
        <v>2</v>
      </c>
      <c r="I71" s="16">
        <v>1</v>
      </c>
      <c r="J71" s="16">
        <v>0</v>
      </c>
      <c r="K71" s="16">
        <v>0</v>
      </c>
      <c r="L71" s="16">
        <v>0</v>
      </c>
      <c r="M71" s="16">
        <v>0</v>
      </c>
      <c r="N71" s="16">
        <v>1</v>
      </c>
      <c r="O71" s="16">
        <v>2</v>
      </c>
      <c r="P71" t="s">
        <v>1393</v>
      </c>
      <c r="Q71" t="s">
        <v>1394</v>
      </c>
      <c r="AA71" s="8"/>
      <c r="AB71" s="8"/>
      <c r="AC71" s="8"/>
      <c r="AE71" s="8"/>
      <c r="AF71" s="8"/>
    </row>
    <row r="72" spans="1:32" x14ac:dyDescent="0.15">
      <c r="A72" t="s">
        <v>845</v>
      </c>
      <c r="B72" t="s">
        <v>796</v>
      </c>
      <c r="C72" s="8" t="s">
        <v>158</v>
      </c>
      <c r="D72">
        <v>5.67</v>
      </c>
      <c r="E72">
        <v>1.73</v>
      </c>
      <c r="F72" t="s">
        <v>775</v>
      </c>
      <c r="G72" s="16">
        <v>3</v>
      </c>
      <c r="H72" s="16">
        <v>2</v>
      </c>
      <c r="I72" s="16">
        <v>1</v>
      </c>
      <c r="J72" s="16">
        <v>0</v>
      </c>
      <c r="K72" s="16">
        <v>0</v>
      </c>
      <c r="L72" s="16">
        <v>2</v>
      </c>
      <c r="M72" s="16">
        <v>1</v>
      </c>
      <c r="N72" s="16">
        <v>4</v>
      </c>
      <c r="O72" s="16">
        <v>3</v>
      </c>
      <c r="P72" t="s">
        <v>802</v>
      </c>
      <c r="Q72" t="s">
        <v>889</v>
      </c>
      <c r="R72" t="s">
        <v>2013</v>
      </c>
      <c r="AA72" s="8"/>
      <c r="AB72" s="8"/>
      <c r="AC72" s="8"/>
      <c r="AE72" s="8"/>
      <c r="AF72" s="8"/>
    </row>
    <row r="73" spans="1:32" x14ac:dyDescent="0.15">
      <c r="A73" t="s">
        <v>489</v>
      </c>
      <c r="B73" t="s">
        <v>490</v>
      </c>
      <c r="C73" s="8" t="s">
        <v>158</v>
      </c>
      <c r="D73">
        <f>0.42*5.84</f>
        <v>2.4527999999999999</v>
      </c>
      <c r="E73">
        <f>0.42*2.57</f>
        <v>1.0793999999999999</v>
      </c>
      <c r="F73" t="s">
        <v>491</v>
      </c>
      <c r="G73" s="16">
        <v>0</v>
      </c>
      <c r="H73" s="16">
        <v>6</v>
      </c>
      <c r="I73" s="16">
        <v>4</v>
      </c>
      <c r="J73" s="16">
        <v>0</v>
      </c>
      <c r="K73" s="16">
        <v>0</v>
      </c>
      <c r="L73" s="16">
        <v>0</v>
      </c>
      <c r="M73" s="16">
        <v>0</v>
      </c>
      <c r="N73" s="16">
        <v>1</v>
      </c>
      <c r="O73" s="16">
        <v>3</v>
      </c>
      <c r="P73" t="s">
        <v>854</v>
      </c>
      <c r="Q73" t="s">
        <v>492</v>
      </c>
      <c r="AA73" s="8"/>
      <c r="AB73" s="8"/>
      <c r="AC73" s="8"/>
      <c r="AE73" s="8"/>
      <c r="AF73" s="8"/>
    </row>
    <row r="74" spans="1:32" x14ac:dyDescent="0.15">
      <c r="A74" t="s">
        <v>887</v>
      </c>
      <c r="B74" t="s">
        <v>2490</v>
      </c>
      <c r="C74" s="8" t="s">
        <v>160</v>
      </c>
      <c r="D74">
        <v>1.75</v>
      </c>
      <c r="E74">
        <v>0.41</v>
      </c>
      <c r="F74" t="s">
        <v>828</v>
      </c>
      <c r="G74" s="16">
        <v>3</v>
      </c>
      <c r="H74" s="16">
        <v>0</v>
      </c>
      <c r="I74" s="16">
        <v>0</v>
      </c>
      <c r="J74" s="16">
        <v>2</v>
      </c>
      <c r="K74" s="16">
        <v>2</v>
      </c>
      <c r="L74" s="16">
        <v>1</v>
      </c>
      <c r="M74" s="16">
        <v>1</v>
      </c>
      <c r="N74" s="16">
        <v>1</v>
      </c>
      <c r="O74" s="16">
        <v>1</v>
      </c>
      <c r="P74" t="s">
        <v>884</v>
      </c>
      <c r="Q74" t="s">
        <v>1045</v>
      </c>
      <c r="R74" t="s">
        <v>827</v>
      </c>
      <c r="AA74" s="8"/>
      <c r="AB74" s="8"/>
      <c r="AC74" s="8"/>
      <c r="AE74" s="8"/>
      <c r="AF74" s="8"/>
    </row>
    <row r="75" spans="1:32" x14ac:dyDescent="0.15">
      <c r="A75" t="s">
        <v>640</v>
      </c>
      <c r="B75" t="s">
        <v>797</v>
      </c>
      <c r="C75" s="8" t="s">
        <v>160</v>
      </c>
      <c r="D75">
        <f>0.42*5.5</f>
        <v>2.31</v>
      </c>
      <c r="E75">
        <v>0.51200000000000001</v>
      </c>
      <c r="F75" t="s">
        <v>635</v>
      </c>
      <c r="G75" s="16">
        <v>4</v>
      </c>
      <c r="H75" s="16">
        <v>0</v>
      </c>
      <c r="I75" s="16">
        <v>0</v>
      </c>
      <c r="J75" s="16">
        <v>2</v>
      </c>
      <c r="K75" s="16">
        <v>2</v>
      </c>
      <c r="L75" s="16">
        <v>1</v>
      </c>
      <c r="M75" s="16">
        <v>1</v>
      </c>
      <c r="N75" s="16">
        <v>1</v>
      </c>
      <c r="O75" s="16">
        <v>2</v>
      </c>
      <c r="P75" t="s">
        <v>798</v>
      </c>
      <c r="Q75" t="s">
        <v>799</v>
      </c>
      <c r="R75" t="s">
        <v>2342</v>
      </c>
      <c r="AA75" s="8"/>
      <c r="AB75" s="8"/>
      <c r="AC75" s="8"/>
      <c r="AE75" s="8"/>
      <c r="AF75" s="8"/>
    </row>
    <row r="76" spans="1:32" x14ac:dyDescent="0.15">
      <c r="A76" t="s">
        <v>1842</v>
      </c>
      <c r="B76" t="s">
        <v>1843</v>
      </c>
      <c r="C76" s="8" t="s">
        <v>155</v>
      </c>
      <c r="D76">
        <v>6.85</v>
      </c>
      <c r="E76">
        <v>2.82</v>
      </c>
      <c r="F76" t="s">
        <v>2068</v>
      </c>
      <c r="G76" s="16">
        <v>0</v>
      </c>
      <c r="H76" s="16">
        <v>6</v>
      </c>
      <c r="I76" s="16">
        <v>1</v>
      </c>
      <c r="J76" s="16">
        <v>0</v>
      </c>
      <c r="K76" s="16">
        <v>0</v>
      </c>
      <c r="L76" s="16">
        <v>0</v>
      </c>
      <c r="M76" s="16">
        <v>1</v>
      </c>
      <c r="N76" s="16">
        <v>3</v>
      </c>
      <c r="O76" s="16">
        <v>3</v>
      </c>
      <c r="P76" t="s">
        <v>1393</v>
      </c>
      <c r="Q76" t="s">
        <v>1313</v>
      </c>
      <c r="AA76" s="8"/>
      <c r="AB76" s="8"/>
      <c r="AC76" s="8"/>
      <c r="AE76" s="8"/>
      <c r="AF76" s="8"/>
    </row>
    <row r="77" spans="1:32" x14ac:dyDescent="0.15">
      <c r="A77" t="s">
        <v>919</v>
      </c>
      <c r="B77" t="s">
        <v>1543</v>
      </c>
      <c r="C77" s="8" t="s">
        <v>156</v>
      </c>
      <c r="D77">
        <v>9.51</v>
      </c>
      <c r="E77">
        <v>4.43</v>
      </c>
      <c r="F77" t="s">
        <v>1947</v>
      </c>
      <c r="G77" s="16">
        <v>0</v>
      </c>
      <c r="H77" s="16">
        <v>2</v>
      </c>
      <c r="I77" s="16">
        <v>2</v>
      </c>
      <c r="J77" s="16">
        <v>0</v>
      </c>
      <c r="K77" s="16">
        <v>0</v>
      </c>
      <c r="L77" s="16">
        <v>0</v>
      </c>
      <c r="M77" s="16">
        <v>2</v>
      </c>
      <c r="N77" s="16">
        <v>3</v>
      </c>
      <c r="O77" s="16">
        <v>2</v>
      </c>
      <c r="P77" t="s">
        <v>1529</v>
      </c>
      <c r="Q77" t="s">
        <v>1530</v>
      </c>
      <c r="R77" t="s">
        <v>2002</v>
      </c>
      <c r="AA77" s="8"/>
      <c r="AB77" s="8"/>
      <c r="AC77" s="8"/>
      <c r="AE77" s="8"/>
      <c r="AF77" s="8"/>
    </row>
    <row r="78" spans="1:32" x14ac:dyDescent="0.15">
      <c r="A78" t="s">
        <v>1783</v>
      </c>
      <c r="B78" t="s">
        <v>1854</v>
      </c>
      <c r="C78" s="8" t="s">
        <v>156</v>
      </c>
      <c r="D78">
        <v>4.55</v>
      </c>
      <c r="E78">
        <v>2.61</v>
      </c>
      <c r="F78" t="s">
        <v>1845</v>
      </c>
      <c r="G78" s="16">
        <v>0</v>
      </c>
      <c r="H78" s="16">
        <v>2</v>
      </c>
      <c r="I78" s="16">
        <v>2</v>
      </c>
      <c r="J78" s="16">
        <v>0</v>
      </c>
      <c r="K78" s="16">
        <v>0</v>
      </c>
      <c r="L78" s="16">
        <v>1</v>
      </c>
      <c r="M78" s="16">
        <v>1</v>
      </c>
      <c r="N78" s="16">
        <v>2</v>
      </c>
      <c r="O78" s="16">
        <v>2</v>
      </c>
      <c r="P78" t="s">
        <v>1393</v>
      </c>
      <c r="Q78" t="s">
        <v>1313</v>
      </c>
      <c r="AA78" s="8"/>
      <c r="AB78" s="8"/>
      <c r="AC78" s="8"/>
      <c r="AE78" s="8"/>
      <c r="AF78" s="8"/>
    </row>
    <row r="79" spans="1:32" x14ac:dyDescent="0.15">
      <c r="A79" t="s">
        <v>1808</v>
      </c>
      <c r="B79" t="s">
        <v>1854</v>
      </c>
      <c r="C79" s="8" t="s">
        <v>156</v>
      </c>
      <c r="D79">
        <v>4.45</v>
      </c>
      <c r="E79">
        <v>1.8</v>
      </c>
      <c r="F79" t="s">
        <v>1846</v>
      </c>
      <c r="G79" s="16">
        <v>0</v>
      </c>
      <c r="H79" s="16">
        <v>6</v>
      </c>
      <c r="I79" s="16">
        <v>4</v>
      </c>
      <c r="J79" s="16">
        <v>1</v>
      </c>
      <c r="K79" s="16">
        <v>2</v>
      </c>
      <c r="L79" s="16">
        <v>1</v>
      </c>
      <c r="M79" s="16">
        <v>1</v>
      </c>
      <c r="N79" s="16">
        <v>3</v>
      </c>
      <c r="O79" s="16">
        <v>2</v>
      </c>
      <c r="P79" t="s">
        <v>1393</v>
      </c>
      <c r="Q79" t="s">
        <v>1313</v>
      </c>
      <c r="AA79" s="8"/>
      <c r="AB79" s="8"/>
      <c r="AC79" s="8"/>
      <c r="AE79" s="8"/>
      <c r="AF79" s="8"/>
    </row>
    <row r="80" spans="1:32" x14ac:dyDescent="0.15">
      <c r="A80" t="s">
        <v>1568</v>
      </c>
      <c r="B80" t="s">
        <v>1317</v>
      </c>
      <c r="C80" s="8" t="s">
        <v>156</v>
      </c>
      <c r="D80">
        <v>4.9400000000000004</v>
      </c>
      <c r="E80">
        <v>2.35</v>
      </c>
      <c r="F80" t="s">
        <v>1950</v>
      </c>
      <c r="G80" s="16">
        <v>0</v>
      </c>
      <c r="H80" s="16">
        <v>0</v>
      </c>
      <c r="I80" s="16">
        <v>0</v>
      </c>
      <c r="J80" s="16">
        <v>2</v>
      </c>
      <c r="K80" s="16">
        <v>2</v>
      </c>
      <c r="L80" s="16">
        <v>1</v>
      </c>
      <c r="M80" s="16">
        <v>2</v>
      </c>
      <c r="N80" s="16">
        <v>2</v>
      </c>
      <c r="O80" s="16">
        <v>2</v>
      </c>
      <c r="P80" t="s">
        <v>978</v>
      </c>
      <c r="Q80" t="s">
        <v>1123</v>
      </c>
      <c r="R80" t="s">
        <v>1932</v>
      </c>
      <c r="AA80" s="8"/>
      <c r="AB80" s="8"/>
      <c r="AC80" s="8"/>
      <c r="AE80" s="8"/>
      <c r="AF80" s="8"/>
    </row>
    <row r="81" spans="1:32" x14ac:dyDescent="0.15">
      <c r="A81" t="s">
        <v>1090</v>
      </c>
      <c r="B81" t="s">
        <v>1091</v>
      </c>
      <c r="C81" s="8" t="s">
        <v>156</v>
      </c>
      <c r="D81">
        <v>4.3499999999999996</v>
      </c>
      <c r="E81">
        <v>1.89</v>
      </c>
      <c r="F81" t="s">
        <v>1653</v>
      </c>
      <c r="G81" s="16">
        <v>0</v>
      </c>
      <c r="H81" s="16">
        <v>4</v>
      </c>
      <c r="I81" s="16">
        <v>1</v>
      </c>
      <c r="J81" s="16">
        <v>2</v>
      </c>
      <c r="K81" s="16">
        <v>1</v>
      </c>
      <c r="L81" s="16">
        <v>1</v>
      </c>
      <c r="M81" s="16">
        <v>1</v>
      </c>
      <c r="N81" s="16">
        <v>3</v>
      </c>
      <c r="O81" s="16">
        <v>2</v>
      </c>
      <c r="P81" t="s">
        <v>1081</v>
      </c>
      <c r="Q81" t="s">
        <v>1082</v>
      </c>
      <c r="AA81" s="8"/>
      <c r="AB81" s="8"/>
      <c r="AC81" s="8"/>
      <c r="AE81" s="8"/>
      <c r="AF81" s="8"/>
    </row>
    <row r="82" spans="1:32" x14ac:dyDescent="0.15">
      <c r="A82" t="s">
        <v>518</v>
      </c>
      <c r="B82" t="s">
        <v>2307</v>
      </c>
      <c r="C82" s="8" t="s">
        <v>158</v>
      </c>
      <c r="D82">
        <f>0.42*3.72</f>
        <v>1.5624</v>
      </c>
      <c r="E82">
        <f>0.42*1.58</f>
        <v>0.66359999999999997</v>
      </c>
      <c r="F82" t="s">
        <v>526</v>
      </c>
      <c r="G82" s="16">
        <v>3</v>
      </c>
      <c r="H82" s="16">
        <v>4</v>
      </c>
      <c r="I82" s="16">
        <v>1</v>
      </c>
      <c r="J82" s="16">
        <v>2</v>
      </c>
      <c r="K82" s="16">
        <v>2</v>
      </c>
      <c r="L82" s="16">
        <v>1</v>
      </c>
      <c r="M82" s="16">
        <v>1</v>
      </c>
      <c r="N82" s="16">
        <v>2</v>
      </c>
      <c r="O82" s="16">
        <v>2</v>
      </c>
      <c r="P82" t="s">
        <v>777</v>
      </c>
      <c r="Q82" t="s">
        <v>799</v>
      </c>
      <c r="AA82" s="8"/>
      <c r="AB82" s="8"/>
      <c r="AC82" s="8"/>
      <c r="AE82" s="8"/>
      <c r="AF82" s="8"/>
    </row>
    <row r="83" spans="1:32" x14ac:dyDescent="0.15">
      <c r="A83" t="s">
        <v>1472</v>
      </c>
      <c r="B83" t="s">
        <v>134</v>
      </c>
      <c r="C83" s="8" t="s">
        <v>158</v>
      </c>
      <c r="D83">
        <v>2.17</v>
      </c>
      <c r="E83">
        <v>0.63</v>
      </c>
      <c r="F83" t="s">
        <v>2283</v>
      </c>
      <c r="G83" s="16">
        <v>4</v>
      </c>
      <c r="H83" s="16">
        <v>5</v>
      </c>
      <c r="I83" s="16">
        <v>3</v>
      </c>
      <c r="J83" s="16">
        <v>1</v>
      </c>
      <c r="K83" s="16">
        <v>2</v>
      </c>
      <c r="L83" s="16">
        <v>1</v>
      </c>
      <c r="M83" s="16">
        <v>1</v>
      </c>
      <c r="N83" s="16">
        <v>3</v>
      </c>
      <c r="O83" s="16">
        <v>2</v>
      </c>
      <c r="P83" t="s">
        <v>1374</v>
      </c>
      <c r="Q83" t="s">
        <v>1242</v>
      </c>
      <c r="AA83" s="8"/>
      <c r="AB83" s="8"/>
      <c r="AC83" s="8"/>
      <c r="AE83" s="8"/>
      <c r="AF83" s="8"/>
    </row>
    <row r="84" spans="1:32" x14ac:dyDescent="0.15">
      <c r="A84" t="s">
        <v>729</v>
      </c>
      <c r="B84" t="s">
        <v>134</v>
      </c>
      <c r="C84" s="8" t="s">
        <v>158</v>
      </c>
      <c r="D84">
        <v>2.0499999999999998</v>
      </c>
      <c r="E84">
        <v>0.57999999999999996</v>
      </c>
      <c r="F84" t="s">
        <v>1666</v>
      </c>
      <c r="G84" s="16">
        <v>3</v>
      </c>
      <c r="H84" s="16">
        <v>4</v>
      </c>
      <c r="I84" s="16">
        <v>4</v>
      </c>
      <c r="J84" s="16">
        <v>1</v>
      </c>
      <c r="K84" s="16">
        <v>2</v>
      </c>
      <c r="L84" s="16">
        <v>0</v>
      </c>
      <c r="M84" s="16">
        <v>1</v>
      </c>
      <c r="N84" s="16">
        <v>2</v>
      </c>
      <c r="O84" s="16">
        <v>2</v>
      </c>
      <c r="P84" t="s">
        <v>1134</v>
      </c>
      <c r="Q84" t="s">
        <v>886</v>
      </c>
      <c r="R84" t="s">
        <v>2008</v>
      </c>
      <c r="AA84" s="8"/>
      <c r="AB84" s="8"/>
      <c r="AC84" s="8"/>
      <c r="AE84" s="8"/>
      <c r="AF84" s="8"/>
    </row>
    <row r="85" spans="1:32" x14ac:dyDescent="0.15">
      <c r="A85" t="s">
        <v>2099</v>
      </c>
      <c r="B85" t="s">
        <v>2145</v>
      </c>
      <c r="C85" s="8" t="s">
        <v>158</v>
      </c>
      <c r="D85">
        <v>1.37</v>
      </c>
      <c r="E85">
        <v>0.48</v>
      </c>
      <c r="F85" t="s">
        <v>2159</v>
      </c>
      <c r="G85" s="16">
        <v>1</v>
      </c>
      <c r="H85" s="16">
        <v>3</v>
      </c>
      <c r="I85" s="16">
        <v>1</v>
      </c>
      <c r="J85" s="16">
        <v>2</v>
      </c>
      <c r="K85" s="16">
        <v>1</v>
      </c>
      <c r="L85" s="16">
        <v>1</v>
      </c>
      <c r="M85" s="16">
        <v>1</v>
      </c>
      <c r="N85" s="16">
        <v>2</v>
      </c>
      <c r="O85" s="16">
        <v>2</v>
      </c>
      <c r="P85" t="s">
        <v>2228</v>
      </c>
      <c r="Q85" t="s">
        <v>2146</v>
      </c>
      <c r="AA85" s="8"/>
      <c r="AB85" s="8"/>
      <c r="AC85" s="8"/>
      <c r="AE85" s="8"/>
      <c r="AF85" s="8"/>
    </row>
    <row r="86" spans="1:32" x14ac:dyDescent="0.15">
      <c r="A86" t="s">
        <v>530</v>
      </c>
      <c r="B86" t="s">
        <v>531</v>
      </c>
      <c r="C86" s="8" t="s">
        <v>158</v>
      </c>
      <c r="D86">
        <f>0.42*5.23</f>
        <v>2.1966000000000001</v>
      </c>
      <c r="E86">
        <f>0.42*1.41</f>
        <v>0.59219999999999995</v>
      </c>
      <c r="F86" t="s">
        <v>532</v>
      </c>
      <c r="G86" s="16">
        <v>1</v>
      </c>
      <c r="H86" s="16">
        <v>5</v>
      </c>
      <c r="I86" s="16">
        <v>1</v>
      </c>
      <c r="J86" s="16">
        <v>2</v>
      </c>
      <c r="K86" s="16">
        <v>1</v>
      </c>
      <c r="L86" s="16">
        <v>0</v>
      </c>
      <c r="M86" s="16">
        <v>1</v>
      </c>
      <c r="N86" s="16">
        <v>2</v>
      </c>
      <c r="O86" s="16">
        <v>2</v>
      </c>
      <c r="P86" t="s">
        <v>658</v>
      </c>
      <c r="Q86" t="s">
        <v>799</v>
      </c>
      <c r="AA86" s="8"/>
      <c r="AB86" s="8"/>
      <c r="AC86" s="8"/>
      <c r="AE86" s="8"/>
      <c r="AF86" s="8"/>
    </row>
    <row r="87" spans="1:32" x14ac:dyDescent="0.15">
      <c r="A87" t="s">
        <v>300</v>
      </c>
      <c r="B87" t="s">
        <v>531</v>
      </c>
      <c r="C87" s="8" t="s">
        <v>158</v>
      </c>
      <c r="D87">
        <f>0.42*5.24</f>
        <v>2.2008000000000001</v>
      </c>
      <c r="E87">
        <f>0.42*1.62</f>
        <v>0.6804</v>
      </c>
      <c r="F87" t="s">
        <v>454</v>
      </c>
      <c r="G87" s="16">
        <v>3</v>
      </c>
      <c r="H87" s="16">
        <v>5</v>
      </c>
      <c r="I87" s="16">
        <v>2</v>
      </c>
      <c r="J87" s="16">
        <v>2</v>
      </c>
      <c r="K87" s="16">
        <v>2</v>
      </c>
      <c r="L87" s="16">
        <v>0</v>
      </c>
      <c r="M87" s="16">
        <v>1</v>
      </c>
      <c r="N87" s="16">
        <v>2</v>
      </c>
      <c r="O87" s="16">
        <v>2</v>
      </c>
      <c r="P87" t="s">
        <v>694</v>
      </c>
      <c r="Q87" t="s">
        <v>660</v>
      </c>
      <c r="AA87" s="8"/>
      <c r="AB87" s="8"/>
      <c r="AC87" s="8"/>
      <c r="AE87" s="8"/>
      <c r="AF87" s="8"/>
    </row>
    <row r="88" spans="1:32" x14ac:dyDescent="0.15">
      <c r="A88" t="s">
        <v>524</v>
      </c>
      <c r="B88" t="s">
        <v>531</v>
      </c>
      <c r="C88" s="8" t="s">
        <v>158</v>
      </c>
      <c r="D88">
        <f>0.42*3.8</f>
        <v>1.5959999999999999</v>
      </c>
      <c r="E88">
        <f>0.42*1.11</f>
        <v>0.4662</v>
      </c>
      <c r="F88" t="s">
        <v>525</v>
      </c>
      <c r="G88" s="16">
        <v>1</v>
      </c>
      <c r="H88" s="16">
        <v>5</v>
      </c>
      <c r="I88" s="16">
        <v>1</v>
      </c>
      <c r="J88" s="16">
        <v>0</v>
      </c>
      <c r="K88" s="16">
        <v>0</v>
      </c>
      <c r="L88" s="16">
        <v>2</v>
      </c>
      <c r="M88" s="16">
        <v>1</v>
      </c>
      <c r="N88" s="16">
        <v>2</v>
      </c>
      <c r="O88" s="16">
        <v>2</v>
      </c>
      <c r="P88" t="s">
        <v>673</v>
      </c>
      <c r="Q88" t="s">
        <v>799</v>
      </c>
      <c r="AA88" s="8"/>
      <c r="AB88" s="8"/>
      <c r="AC88" s="8"/>
      <c r="AE88" s="8"/>
      <c r="AF88" s="8"/>
    </row>
    <row r="89" spans="1:32" x14ac:dyDescent="0.15">
      <c r="A89" t="s">
        <v>519</v>
      </c>
      <c r="B89" t="s">
        <v>2391</v>
      </c>
      <c r="C89" s="8" t="s">
        <v>158</v>
      </c>
      <c r="D89">
        <v>1.52</v>
      </c>
      <c r="E89">
        <v>0.65</v>
      </c>
      <c r="F89" t="s">
        <v>520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2</v>
      </c>
      <c r="O89" s="16">
        <v>2</v>
      </c>
      <c r="P89" t="s">
        <v>764</v>
      </c>
      <c r="Q89" t="s">
        <v>637</v>
      </c>
      <c r="R89" t="s">
        <v>2392</v>
      </c>
      <c r="AA89" s="8"/>
      <c r="AB89" s="8"/>
      <c r="AC89" s="8"/>
      <c r="AE89" s="8"/>
      <c r="AF89" s="8"/>
    </row>
    <row r="90" spans="1:32" x14ac:dyDescent="0.15">
      <c r="A90" t="s">
        <v>703</v>
      </c>
      <c r="B90" t="s">
        <v>704</v>
      </c>
      <c r="C90" s="8" t="s">
        <v>160</v>
      </c>
      <c r="D90">
        <v>2.69</v>
      </c>
      <c r="E90">
        <v>0.75</v>
      </c>
      <c r="F90" t="s">
        <v>705</v>
      </c>
      <c r="G90" s="16">
        <v>4</v>
      </c>
      <c r="H90" s="16">
        <v>3</v>
      </c>
      <c r="I90" s="16">
        <v>1</v>
      </c>
      <c r="J90" s="16">
        <v>2</v>
      </c>
      <c r="K90" s="16">
        <v>2</v>
      </c>
      <c r="L90" s="16">
        <v>0</v>
      </c>
      <c r="M90" s="16">
        <v>1</v>
      </c>
      <c r="N90" s="16">
        <v>1</v>
      </c>
      <c r="O90" s="16">
        <v>2</v>
      </c>
      <c r="P90" t="s">
        <v>694</v>
      </c>
      <c r="Q90" t="s">
        <v>799</v>
      </c>
      <c r="R90" t="s">
        <v>2324</v>
      </c>
      <c r="AA90" s="8"/>
      <c r="AB90" s="8"/>
      <c r="AC90" s="8"/>
      <c r="AE90" s="8"/>
      <c r="AF90" s="8"/>
    </row>
    <row r="91" spans="1:32" x14ac:dyDescent="0.15">
      <c r="A91" t="s">
        <v>1557</v>
      </c>
      <c r="B91" t="s">
        <v>2026</v>
      </c>
      <c r="C91" s="8" t="s">
        <v>158</v>
      </c>
      <c r="D91">
        <v>6.13</v>
      </c>
      <c r="E91">
        <v>0.96</v>
      </c>
      <c r="F91" t="s">
        <v>2027</v>
      </c>
      <c r="G91" s="16">
        <v>3</v>
      </c>
      <c r="H91" s="16">
        <v>0</v>
      </c>
      <c r="I91" s="16">
        <v>0</v>
      </c>
      <c r="J91" s="16">
        <v>2</v>
      </c>
      <c r="K91" s="16">
        <v>2</v>
      </c>
      <c r="L91" s="16">
        <v>2</v>
      </c>
      <c r="M91" s="16">
        <v>1</v>
      </c>
      <c r="N91" s="16">
        <v>2</v>
      </c>
      <c r="O91" s="16">
        <v>2</v>
      </c>
      <c r="P91" t="s">
        <v>1514</v>
      </c>
      <c r="Q91" t="s">
        <v>1515</v>
      </c>
      <c r="AA91" s="8"/>
      <c r="AB91" s="8"/>
      <c r="AC91" s="8"/>
      <c r="AE91" s="8"/>
      <c r="AF91" s="8"/>
    </row>
    <row r="92" spans="1:32" x14ac:dyDescent="0.15">
      <c r="A92" t="s">
        <v>1029</v>
      </c>
      <c r="B92" t="s">
        <v>1030</v>
      </c>
      <c r="C92" s="8" t="s">
        <v>154</v>
      </c>
      <c r="D92">
        <v>2.68</v>
      </c>
      <c r="E92">
        <v>1.1100000000000001</v>
      </c>
      <c r="F92" t="s">
        <v>830</v>
      </c>
      <c r="G92" s="16">
        <v>1</v>
      </c>
      <c r="H92" s="16">
        <v>3</v>
      </c>
      <c r="I92" s="16">
        <v>3</v>
      </c>
      <c r="J92" s="16">
        <v>0</v>
      </c>
      <c r="K92" s="16">
        <v>0</v>
      </c>
      <c r="L92" s="16">
        <v>0</v>
      </c>
      <c r="M92" s="16">
        <v>1</v>
      </c>
      <c r="N92" s="16">
        <v>1</v>
      </c>
      <c r="O92" s="16">
        <v>1</v>
      </c>
      <c r="P92" t="s">
        <v>1031</v>
      </c>
      <c r="Q92" t="s">
        <v>1032</v>
      </c>
      <c r="R92" t="s">
        <v>2074</v>
      </c>
      <c r="AA92" s="8"/>
      <c r="AB92" s="8"/>
      <c r="AC92" s="8"/>
      <c r="AE92" s="8"/>
      <c r="AF92" s="8"/>
    </row>
    <row r="93" spans="1:32" x14ac:dyDescent="0.15">
      <c r="A93" t="s">
        <v>1766</v>
      </c>
      <c r="B93" t="s">
        <v>1109</v>
      </c>
      <c r="C93" s="8" t="s">
        <v>154</v>
      </c>
      <c r="D93">
        <v>3.33</v>
      </c>
      <c r="E93">
        <v>1.36</v>
      </c>
      <c r="F93" t="s">
        <v>1861</v>
      </c>
      <c r="G93" s="16">
        <v>2</v>
      </c>
      <c r="H93" s="16">
        <v>3</v>
      </c>
      <c r="I93" s="16">
        <v>1</v>
      </c>
      <c r="J93" s="16">
        <v>0</v>
      </c>
      <c r="K93" s="16">
        <v>0</v>
      </c>
      <c r="L93" s="16">
        <v>1</v>
      </c>
      <c r="M93" s="16">
        <v>1</v>
      </c>
      <c r="N93" s="16">
        <v>2</v>
      </c>
      <c r="O93" s="16">
        <v>2</v>
      </c>
      <c r="P93" t="s">
        <v>1111</v>
      </c>
      <c r="Q93" t="s">
        <v>812</v>
      </c>
      <c r="R93" t="s">
        <v>1934</v>
      </c>
      <c r="AA93" s="8"/>
      <c r="AB93" s="8"/>
      <c r="AC93" s="8"/>
      <c r="AE93" s="8"/>
      <c r="AF93" s="8"/>
    </row>
    <row r="94" spans="1:32" x14ac:dyDescent="0.15">
      <c r="A94" t="s">
        <v>1326</v>
      </c>
      <c r="B94" t="s">
        <v>1823</v>
      </c>
      <c r="C94" s="8" t="s">
        <v>154</v>
      </c>
      <c r="D94">
        <v>5.44</v>
      </c>
      <c r="E94">
        <v>2.2599999999999998</v>
      </c>
      <c r="F94" t="s">
        <v>1822</v>
      </c>
      <c r="G94" s="16">
        <v>4</v>
      </c>
      <c r="H94" s="16">
        <v>0</v>
      </c>
      <c r="I94" s="16">
        <v>0</v>
      </c>
      <c r="J94" s="16">
        <v>1</v>
      </c>
      <c r="K94" s="16">
        <v>1</v>
      </c>
      <c r="L94" s="16">
        <v>0</v>
      </c>
      <c r="M94" s="16">
        <v>1</v>
      </c>
      <c r="N94" s="16">
        <v>2</v>
      </c>
      <c r="O94" s="16">
        <v>2</v>
      </c>
      <c r="P94" t="s">
        <v>1514</v>
      </c>
      <c r="Q94" t="s">
        <v>1515</v>
      </c>
      <c r="AA94" s="8"/>
      <c r="AB94" s="8"/>
      <c r="AC94" s="8"/>
      <c r="AE94" s="8"/>
      <c r="AF94" s="8"/>
    </row>
    <row r="95" spans="1:32" x14ac:dyDescent="0.15">
      <c r="A95" t="s">
        <v>1565</v>
      </c>
      <c r="B95" t="s">
        <v>1796</v>
      </c>
      <c r="C95" s="8" t="s">
        <v>154</v>
      </c>
      <c r="D95">
        <v>6.92</v>
      </c>
      <c r="E95">
        <v>2.36</v>
      </c>
      <c r="F95" t="s">
        <v>913</v>
      </c>
      <c r="G95" s="16">
        <v>3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2</v>
      </c>
      <c r="O95" s="16">
        <v>2</v>
      </c>
      <c r="P95" t="s">
        <v>1393</v>
      </c>
      <c r="Q95" t="s">
        <v>1676</v>
      </c>
      <c r="R95" t="s">
        <v>2022</v>
      </c>
      <c r="AA95" s="8"/>
      <c r="AB95" s="8"/>
      <c r="AC95" s="8"/>
      <c r="AE95" s="8"/>
      <c r="AF95" s="8"/>
    </row>
    <row r="96" spans="1:32" x14ac:dyDescent="0.15">
      <c r="A96" t="s">
        <v>688</v>
      </c>
      <c r="B96" t="s">
        <v>689</v>
      </c>
      <c r="C96" s="8" t="s">
        <v>154</v>
      </c>
      <c r="D96">
        <f>14.94*0.43</f>
        <v>6.4241999999999999</v>
      </c>
      <c r="E96">
        <f>6.23*0.43</f>
        <v>2.6789000000000001</v>
      </c>
      <c r="F96" t="s">
        <v>690</v>
      </c>
      <c r="G96" s="16">
        <v>3</v>
      </c>
      <c r="H96" s="16">
        <v>0</v>
      </c>
      <c r="I96" s="16">
        <v>0</v>
      </c>
      <c r="J96" s="16">
        <v>0</v>
      </c>
      <c r="K96" s="16">
        <v>0</v>
      </c>
      <c r="L96" s="16">
        <v>1</v>
      </c>
      <c r="M96" s="16">
        <v>1</v>
      </c>
      <c r="N96" s="16">
        <v>2</v>
      </c>
      <c r="O96" s="16">
        <v>1</v>
      </c>
      <c r="P96" t="s">
        <v>798</v>
      </c>
      <c r="Q96" t="s">
        <v>799</v>
      </c>
      <c r="R96" t="s">
        <v>2332</v>
      </c>
      <c r="AA96" s="8"/>
      <c r="AB96" s="8"/>
      <c r="AC96" s="8"/>
      <c r="AE96" s="8"/>
      <c r="AF96" s="8"/>
    </row>
    <row r="97" spans="1:32" x14ac:dyDescent="0.15">
      <c r="A97" t="s">
        <v>553</v>
      </c>
      <c r="B97" t="s">
        <v>554</v>
      </c>
      <c r="C97" s="8" t="s">
        <v>154</v>
      </c>
      <c r="D97">
        <f>7.8*0.43</f>
        <v>3.3540000000000001</v>
      </c>
      <c r="E97">
        <f>3.14*0.43</f>
        <v>1.3502000000000001</v>
      </c>
      <c r="F97" t="s">
        <v>472</v>
      </c>
      <c r="G97" s="16">
        <v>3</v>
      </c>
      <c r="H97" s="16">
        <v>4</v>
      </c>
      <c r="I97" s="16">
        <v>2</v>
      </c>
      <c r="J97" s="16">
        <v>0</v>
      </c>
      <c r="K97" s="16">
        <v>0</v>
      </c>
      <c r="L97" s="16">
        <v>0</v>
      </c>
      <c r="M97" s="16">
        <v>1</v>
      </c>
      <c r="N97" s="16">
        <v>1</v>
      </c>
      <c r="O97" s="16">
        <v>2</v>
      </c>
      <c r="P97" t="s">
        <v>694</v>
      </c>
      <c r="Q97" t="s">
        <v>799</v>
      </c>
      <c r="R97" t="s">
        <v>2356</v>
      </c>
      <c r="AA97" s="8"/>
      <c r="AB97" s="8"/>
      <c r="AC97" s="8"/>
      <c r="AE97" s="8"/>
      <c r="AF97" s="8"/>
    </row>
    <row r="98" spans="1:32" x14ac:dyDescent="0.15">
      <c r="A98" t="s">
        <v>700</v>
      </c>
      <c r="B98" t="s">
        <v>554</v>
      </c>
      <c r="C98" s="8" t="s">
        <v>154</v>
      </c>
      <c r="D98">
        <f>0.43*11.65</f>
        <v>5.0095000000000001</v>
      </c>
      <c r="E98">
        <f>0.43*4.05</f>
        <v>1.7414999999999998</v>
      </c>
      <c r="F98" t="s">
        <v>784</v>
      </c>
      <c r="G98" s="16">
        <v>4</v>
      </c>
      <c r="H98" s="16">
        <v>3</v>
      </c>
      <c r="I98" s="16">
        <v>2</v>
      </c>
      <c r="J98" s="16">
        <v>0</v>
      </c>
      <c r="K98" s="16">
        <v>0</v>
      </c>
      <c r="L98" s="16">
        <v>1</v>
      </c>
      <c r="M98" s="16">
        <v>2</v>
      </c>
      <c r="N98" s="16">
        <v>2</v>
      </c>
      <c r="O98" s="16">
        <v>1</v>
      </c>
      <c r="P98" t="s">
        <v>694</v>
      </c>
      <c r="Q98" t="s">
        <v>660</v>
      </c>
      <c r="AA98" s="8"/>
      <c r="AB98" s="8"/>
      <c r="AC98" s="8"/>
      <c r="AE98" s="8"/>
      <c r="AF98" s="8"/>
    </row>
    <row r="99" spans="1:32" x14ac:dyDescent="0.15">
      <c r="A99" t="s">
        <v>1006</v>
      </c>
      <c r="B99" t="s">
        <v>1007</v>
      </c>
      <c r="C99" s="8" t="s">
        <v>154</v>
      </c>
      <c r="D99">
        <v>4.38</v>
      </c>
      <c r="E99">
        <v>2.14</v>
      </c>
      <c r="F99" t="s">
        <v>826</v>
      </c>
      <c r="G99" s="16">
        <v>3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1</v>
      </c>
      <c r="N99" s="16">
        <v>2</v>
      </c>
      <c r="O99" s="16">
        <v>2</v>
      </c>
      <c r="P99" t="s">
        <v>802</v>
      </c>
      <c r="Q99" t="s">
        <v>889</v>
      </c>
      <c r="AA99" s="8"/>
      <c r="AB99" s="8"/>
      <c r="AC99" s="8"/>
      <c r="AE99" s="8"/>
      <c r="AF99" s="8"/>
    </row>
    <row r="100" spans="1:32" x14ac:dyDescent="0.15">
      <c r="A100" t="s">
        <v>1805</v>
      </c>
      <c r="B100" t="s">
        <v>1806</v>
      </c>
      <c r="C100" s="8" t="s">
        <v>154</v>
      </c>
      <c r="D100">
        <v>8.18</v>
      </c>
      <c r="E100">
        <v>2.33</v>
      </c>
      <c r="F100" t="s">
        <v>1998</v>
      </c>
      <c r="G100" s="16">
        <v>3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t="s">
        <v>1393</v>
      </c>
      <c r="Q100" t="s">
        <v>1703</v>
      </c>
      <c r="AA100" s="8"/>
      <c r="AB100" s="8"/>
      <c r="AC100" s="8"/>
      <c r="AE100" s="8"/>
      <c r="AF100" s="8"/>
    </row>
    <row r="101" spans="1:32" x14ac:dyDescent="0.15">
      <c r="A101" t="s">
        <v>1523</v>
      </c>
      <c r="B101" t="s">
        <v>1524</v>
      </c>
      <c r="C101" s="8" t="s">
        <v>156</v>
      </c>
      <c r="D101">
        <v>3.51</v>
      </c>
      <c r="E101">
        <v>1.2</v>
      </c>
      <c r="F101" t="s">
        <v>1878</v>
      </c>
      <c r="G101" s="16">
        <v>0</v>
      </c>
      <c r="H101" s="16">
        <v>3</v>
      </c>
      <c r="I101" s="16">
        <v>4</v>
      </c>
      <c r="J101" s="16">
        <v>1</v>
      </c>
      <c r="K101" s="16">
        <v>1</v>
      </c>
      <c r="L101" s="16">
        <v>1</v>
      </c>
      <c r="M101" s="16">
        <v>1</v>
      </c>
      <c r="N101" s="16">
        <v>3</v>
      </c>
      <c r="O101" s="16">
        <v>2</v>
      </c>
      <c r="P101" t="s">
        <v>1514</v>
      </c>
      <c r="Q101" t="s">
        <v>1559</v>
      </c>
      <c r="AA101" s="8"/>
      <c r="AB101" s="8"/>
      <c r="AC101" s="8"/>
      <c r="AE101" s="8"/>
      <c r="AF101" s="8"/>
    </row>
    <row r="102" spans="1:32" x14ac:dyDescent="0.15">
      <c r="A102" t="s">
        <v>1591</v>
      </c>
      <c r="B102" t="s">
        <v>1592</v>
      </c>
      <c r="C102" s="8" t="s">
        <v>156</v>
      </c>
      <c r="D102">
        <v>4.55</v>
      </c>
      <c r="E102">
        <v>2.39</v>
      </c>
      <c r="F102" t="s">
        <v>1789</v>
      </c>
      <c r="G102" s="16">
        <v>0</v>
      </c>
      <c r="H102" s="16">
        <v>1</v>
      </c>
      <c r="I102" s="16">
        <v>1</v>
      </c>
      <c r="J102" s="16">
        <v>0</v>
      </c>
      <c r="K102" s="16">
        <v>0</v>
      </c>
      <c r="L102" s="16">
        <v>1</v>
      </c>
      <c r="M102" s="16">
        <v>1</v>
      </c>
      <c r="N102" s="16">
        <v>2</v>
      </c>
      <c r="O102" s="16">
        <v>2</v>
      </c>
      <c r="P102" t="s">
        <v>978</v>
      </c>
      <c r="Q102" t="s">
        <v>1123</v>
      </c>
      <c r="AA102" s="8"/>
      <c r="AB102" s="8"/>
      <c r="AC102" s="8"/>
      <c r="AE102" s="8"/>
      <c r="AF102" s="8"/>
    </row>
    <row r="103" spans="1:32" x14ac:dyDescent="0.15">
      <c r="A103" t="s">
        <v>1062</v>
      </c>
      <c r="B103" t="s">
        <v>1057</v>
      </c>
      <c r="C103" s="8" t="s">
        <v>156</v>
      </c>
      <c r="D103">
        <v>3.25</v>
      </c>
      <c r="E103">
        <v>0.98</v>
      </c>
      <c r="F103" t="s">
        <v>2169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2</v>
      </c>
      <c r="O103" s="16">
        <v>1</v>
      </c>
      <c r="P103" t="s">
        <v>1088</v>
      </c>
      <c r="Q103" t="s">
        <v>1089</v>
      </c>
      <c r="R103" t="s">
        <v>2247</v>
      </c>
      <c r="AA103" s="8"/>
      <c r="AB103" s="8"/>
      <c r="AC103" s="8"/>
      <c r="AE103" s="8"/>
      <c r="AF103" s="8"/>
    </row>
    <row r="104" spans="1:32" x14ac:dyDescent="0.15">
      <c r="A104" t="s">
        <v>1189</v>
      </c>
      <c r="B104" t="s">
        <v>1190</v>
      </c>
      <c r="C104" s="8" t="s">
        <v>156</v>
      </c>
      <c r="D104">
        <v>2.4900000000000002</v>
      </c>
      <c r="E104">
        <v>1.35</v>
      </c>
      <c r="F104" t="s">
        <v>1874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2</v>
      </c>
      <c r="O104" s="16">
        <v>0</v>
      </c>
      <c r="P104" t="s">
        <v>1122</v>
      </c>
      <c r="Q104" t="s">
        <v>1044</v>
      </c>
      <c r="AA104" s="8"/>
      <c r="AB104" s="8"/>
      <c r="AC104" s="8"/>
      <c r="AE104" s="8"/>
      <c r="AF104" s="8"/>
    </row>
    <row r="105" spans="1:32" x14ac:dyDescent="0.15">
      <c r="A105" s="1" t="s">
        <v>1879</v>
      </c>
      <c r="B105" s="1" t="s">
        <v>1880</v>
      </c>
      <c r="C105" s="8" t="s">
        <v>156</v>
      </c>
      <c r="D105" s="1">
        <v>8.35</v>
      </c>
      <c r="E105" s="1">
        <v>2.21</v>
      </c>
      <c r="F105" s="1" t="s">
        <v>1881</v>
      </c>
      <c r="G105" s="17">
        <v>0</v>
      </c>
      <c r="H105" s="17">
        <v>6</v>
      </c>
      <c r="I105" s="17">
        <v>3</v>
      </c>
      <c r="J105" s="17">
        <v>0</v>
      </c>
      <c r="K105" s="17">
        <v>0</v>
      </c>
      <c r="L105" s="17">
        <v>0</v>
      </c>
      <c r="M105" s="17">
        <v>0</v>
      </c>
      <c r="N105" s="17">
        <v>2</v>
      </c>
      <c r="O105" s="17">
        <v>2</v>
      </c>
      <c r="P105" s="1" t="s">
        <v>978</v>
      </c>
      <c r="Q105" s="1" t="s">
        <v>1139</v>
      </c>
      <c r="R105" s="1" t="s">
        <v>1859</v>
      </c>
      <c r="AA105" s="8"/>
      <c r="AB105" s="8"/>
      <c r="AC105" s="8"/>
      <c r="AE105" s="8"/>
      <c r="AF105" s="8"/>
    </row>
    <row r="106" spans="1:32" x14ac:dyDescent="0.15">
      <c r="A106" t="s">
        <v>1513</v>
      </c>
      <c r="B106" t="s">
        <v>1327</v>
      </c>
      <c r="C106" s="8" t="s">
        <v>156</v>
      </c>
      <c r="D106">
        <v>3.1</v>
      </c>
      <c r="E106">
        <v>1.78</v>
      </c>
      <c r="F106" t="s">
        <v>1876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1</v>
      </c>
      <c r="N106" s="16">
        <v>2</v>
      </c>
      <c r="O106" s="16">
        <v>1</v>
      </c>
      <c r="P106" t="s">
        <v>1514</v>
      </c>
      <c r="Q106" t="s">
        <v>1559</v>
      </c>
      <c r="AA106" s="8"/>
      <c r="AB106" s="8"/>
      <c r="AC106" s="8"/>
      <c r="AE106" s="8"/>
      <c r="AF106" s="8"/>
    </row>
    <row r="107" spans="1:32" x14ac:dyDescent="0.15">
      <c r="A107" t="s">
        <v>1003</v>
      </c>
      <c r="B107" t="s">
        <v>932</v>
      </c>
      <c r="C107" s="8" t="s">
        <v>156</v>
      </c>
      <c r="D107">
        <v>3.27</v>
      </c>
      <c r="E107">
        <v>1.3</v>
      </c>
      <c r="F107" t="s">
        <v>1661</v>
      </c>
      <c r="G107" s="16">
        <v>0</v>
      </c>
      <c r="H107" s="16">
        <v>0</v>
      </c>
      <c r="I107" s="16">
        <v>0</v>
      </c>
      <c r="J107" s="16">
        <v>2</v>
      </c>
      <c r="K107" s="16">
        <v>1</v>
      </c>
      <c r="L107" s="16">
        <v>1</v>
      </c>
      <c r="M107" s="16">
        <v>1</v>
      </c>
      <c r="N107" s="16">
        <v>2</v>
      </c>
      <c r="O107" s="16">
        <v>2</v>
      </c>
      <c r="P107" t="s">
        <v>1081</v>
      </c>
      <c r="Q107" t="s">
        <v>1082</v>
      </c>
      <c r="AA107" s="8"/>
      <c r="AB107" s="8"/>
      <c r="AC107" s="8"/>
      <c r="AE107" s="8"/>
      <c r="AF107" s="8"/>
    </row>
    <row r="108" spans="1:32" x14ac:dyDescent="0.15">
      <c r="A108" t="s">
        <v>1625</v>
      </c>
      <c r="B108" t="s">
        <v>1626</v>
      </c>
      <c r="C108" s="8" t="s">
        <v>156</v>
      </c>
      <c r="D108">
        <v>2.33</v>
      </c>
      <c r="E108">
        <v>1.67</v>
      </c>
      <c r="F108" t="s">
        <v>1664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2</v>
      </c>
      <c r="O108" s="16">
        <v>2</v>
      </c>
      <c r="P108" t="s">
        <v>1529</v>
      </c>
      <c r="Q108" t="s">
        <v>1627</v>
      </c>
      <c r="AA108" s="8"/>
      <c r="AB108" s="8"/>
      <c r="AC108" s="8"/>
      <c r="AE108" s="8"/>
      <c r="AF108" s="8"/>
    </row>
    <row r="109" spans="1:32" x14ac:dyDescent="0.15">
      <c r="A109" t="s">
        <v>1458</v>
      </c>
      <c r="B109" t="s">
        <v>1626</v>
      </c>
      <c r="C109" s="8" t="s">
        <v>156</v>
      </c>
      <c r="D109">
        <v>3.78</v>
      </c>
      <c r="E109">
        <v>1.87</v>
      </c>
      <c r="F109" t="s">
        <v>1925</v>
      </c>
      <c r="G109" s="16">
        <v>3</v>
      </c>
      <c r="H109" s="16">
        <v>0</v>
      </c>
      <c r="I109" s="16">
        <v>0</v>
      </c>
      <c r="J109" s="16">
        <v>0</v>
      </c>
      <c r="K109" s="16">
        <v>0</v>
      </c>
      <c r="L109" s="16">
        <v>1</v>
      </c>
      <c r="M109" s="16">
        <v>1</v>
      </c>
      <c r="N109" s="16">
        <v>2</v>
      </c>
      <c r="O109" s="16">
        <v>1</v>
      </c>
      <c r="P109" t="s">
        <v>1529</v>
      </c>
      <c r="Q109" t="s">
        <v>1621</v>
      </c>
      <c r="AA109" s="8"/>
      <c r="AB109" s="8"/>
      <c r="AC109" s="8"/>
      <c r="AE109" s="8"/>
      <c r="AF109" s="8"/>
    </row>
    <row r="110" spans="1:32" x14ac:dyDescent="0.15">
      <c r="A110" t="s">
        <v>1597</v>
      </c>
      <c r="B110" t="s">
        <v>1626</v>
      </c>
      <c r="C110" s="8" t="s">
        <v>156</v>
      </c>
      <c r="D110">
        <v>1.52</v>
      </c>
      <c r="E110">
        <v>0.53</v>
      </c>
      <c r="F110" t="s">
        <v>1997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2</v>
      </c>
      <c r="O110" s="16">
        <v>0</v>
      </c>
      <c r="P110" t="s">
        <v>1529</v>
      </c>
      <c r="Q110" t="s">
        <v>1598</v>
      </c>
      <c r="R110" t="s">
        <v>2005</v>
      </c>
      <c r="AA110" s="8"/>
      <c r="AB110" s="8"/>
      <c r="AC110" s="8"/>
      <c r="AE110" s="8"/>
      <c r="AF110" s="8"/>
    </row>
    <row r="111" spans="1:32" x14ac:dyDescent="0.15">
      <c r="A111" t="s">
        <v>1601</v>
      </c>
      <c r="B111" t="s">
        <v>1626</v>
      </c>
      <c r="C111" s="8" t="s">
        <v>156</v>
      </c>
      <c r="D111">
        <v>4.5199999999999996</v>
      </c>
      <c r="E111">
        <v>1.92</v>
      </c>
      <c r="F111" t="s">
        <v>1926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1</v>
      </c>
      <c r="N111" s="16">
        <v>2</v>
      </c>
      <c r="O111" s="16">
        <v>2</v>
      </c>
      <c r="P111" t="s">
        <v>1529</v>
      </c>
      <c r="Q111" t="s">
        <v>1530</v>
      </c>
      <c r="AA111" s="8"/>
      <c r="AB111" s="8"/>
      <c r="AC111" s="8"/>
      <c r="AE111" s="8"/>
      <c r="AF111" s="8"/>
    </row>
    <row r="112" spans="1:32" x14ac:dyDescent="0.15">
      <c r="A112" t="s">
        <v>1194</v>
      </c>
      <c r="B112" t="s">
        <v>801</v>
      </c>
      <c r="C112" s="8" t="s">
        <v>156</v>
      </c>
      <c r="D112">
        <v>5.86</v>
      </c>
      <c r="E112">
        <v>3.66</v>
      </c>
      <c r="F112" t="s">
        <v>1890</v>
      </c>
      <c r="G112" s="16">
        <v>0</v>
      </c>
      <c r="H112" s="16">
        <v>4</v>
      </c>
      <c r="I112" s="16">
        <v>2</v>
      </c>
      <c r="J112" s="16">
        <v>2</v>
      </c>
      <c r="K112" s="16">
        <v>2</v>
      </c>
      <c r="L112" s="16">
        <v>0</v>
      </c>
      <c r="M112" s="16">
        <v>2</v>
      </c>
      <c r="N112" s="16">
        <v>2</v>
      </c>
      <c r="O112" s="16">
        <v>2</v>
      </c>
      <c r="P112" t="s">
        <v>802</v>
      </c>
      <c r="Q112" t="s">
        <v>730</v>
      </c>
      <c r="AA112" s="8"/>
      <c r="AB112" s="8"/>
      <c r="AC112" s="8"/>
      <c r="AE112" s="8"/>
      <c r="AF112" s="8"/>
    </row>
    <row r="113" spans="1:32" x14ac:dyDescent="0.15">
      <c r="A113" t="s">
        <v>1098</v>
      </c>
      <c r="B113" t="s">
        <v>1099</v>
      </c>
      <c r="C113" s="8" t="s">
        <v>156</v>
      </c>
      <c r="D113">
        <v>5.12</v>
      </c>
      <c r="E113">
        <v>1.85</v>
      </c>
      <c r="F113" t="s">
        <v>2224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1</v>
      </c>
      <c r="M113" s="16">
        <v>1</v>
      </c>
      <c r="N113" s="16">
        <v>2</v>
      </c>
      <c r="O113" s="16">
        <v>0</v>
      </c>
      <c r="P113" t="s">
        <v>732</v>
      </c>
      <c r="Q113" t="s">
        <v>1100</v>
      </c>
      <c r="AA113" s="8"/>
      <c r="AB113" s="8"/>
      <c r="AC113" s="8"/>
      <c r="AE113" s="8"/>
      <c r="AF113" s="8"/>
    </row>
    <row r="114" spans="1:32" x14ac:dyDescent="0.15">
      <c r="A114" t="s">
        <v>1572</v>
      </c>
      <c r="B114" t="s">
        <v>1099</v>
      </c>
      <c r="C114" s="8" t="s">
        <v>156</v>
      </c>
      <c r="D114">
        <v>3</v>
      </c>
      <c r="E114">
        <v>1.68</v>
      </c>
      <c r="F114" t="s">
        <v>2296</v>
      </c>
      <c r="G114" s="16">
        <v>0</v>
      </c>
      <c r="H114" s="16">
        <v>6</v>
      </c>
      <c r="I114" s="16">
        <v>2</v>
      </c>
      <c r="J114" s="16">
        <v>0</v>
      </c>
      <c r="K114" s="16">
        <v>0</v>
      </c>
      <c r="L114" s="16">
        <v>1</v>
      </c>
      <c r="M114" s="16">
        <v>1</v>
      </c>
      <c r="N114" s="16">
        <v>2</v>
      </c>
      <c r="O114" s="16">
        <v>2</v>
      </c>
      <c r="P114" t="s">
        <v>802</v>
      </c>
      <c r="Q114" t="s">
        <v>730</v>
      </c>
      <c r="R114" t="s">
        <v>2262</v>
      </c>
      <c r="AA114" s="8"/>
      <c r="AB114" s="8"/>
      <c r="AC114" s="8"/>
      <c r="AE114" s="8"/>
      <c r="AF114" s="8"/>
    </row>
    <row r="115" spans="1:32" x14ac:dyDescent="0.15">
      <c r="A115" t="s">
        <v>993</v>
      </c>
      <c r="B115" t="s">
        <v>801</v>
      </c>
      <c r="C115" s="8" t="s">
        <v>156</v>
      </c>
      <c r="D115">
        <v>7.85</v>
      </c>
      <c r="E115">
        <v>2.4900000000000002</v>
      </c>
      <c r="F115" t="s">
        <v>1868</v>
      </c>
      <c r="G115" s="16">
        <v>0</v>
      </c>
      <c r="H115" s="16">
        <v>0</v>
      </c>
      <c r="I115" s="16">
        <v>0</v>
      </c>
      <c r="J115" s="16">
        <v>2</v>
      </c>
      <c r="K115" s="16">
        <v>1</v>
      </c>
      <c r="L115" s="16">
        <v>1</v>
      </c>
      <c r="M115" s="16">
        <v>2</v>
      </c>
      <c r="N115" s="16">
        <v>2</v>
      </c>
      <c r="O115" s="16">
        <v>2</v>
      </c>
      <c r="P115" t="s">
        <v>802</v>
      </c>
      <c r="Q115" t="s">
        <v>730</v>
      </c>
      <c r="R115" t="s">
        <v>1930</v>
      </c>
      <c r="AA115" s="8"/>
      <c r="AB115" s="8"/>
      <c r="AC115" s="8"/>
      <c r="AE115" s="8"/>
      <c r="AF115" s="8"/>
    </row>
    <row r="116" spans="1:32" x14ac:dyDescent="0.15">
      <c r="A116" t="s">
        <v>838</v>
      </c>
      <c r="B116" t="s">
        <v>1099</v>
      </c>
      <c r="C116" s="8" t="s">
        <v>156</v>
      </c>
      <c r="D116">
        <v>2.0499999999999998</v>
      </c>
      <c r="E116">
        <v>1.26</v>
      </c>
      <c r="F116" t="s">
        <v>1982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1</v>
      </c>
      <c r="M116" s="16">
        <v>1</v>
      </c>
      <c r="N116" s="16">
        <v>2</v>
      </c>
      <c r="O116" s="16">
        <v>2</v>
      </c>
      <c r="P116" t="s">
        <v>802</v>
      </c>
      <c r="Q116" t="s">
        <v>730</v>
      </c>
      <c r="R116" t="s">
        <v>1983</v>
      </c>
      <c r="AA116" s="8"/>
      <c r="AB116" s="8"/>
      <c r="AC116" s="8"/>
      <c r="AE116" s="8"/>
      <c r="AF116" s="8"/>
    </row>
    <row r="117" spans="1:32" x14ac:dyDescent="0.15">
      <c r="A117" t="s">
        <v>996</v>
      </c>
      <c r="B117" t="s">
        <v>994</v>
      </c>
      <c r="C117" s="8" t="s">
        <v>156</v>
      </c>
      <c r="D117">
        <v>7.41</v>
      </c>
      <c r="E117">
        <v>4.1399999999999997</v>
      </c>
      <c r="F117" t="s">
        <v>1945</v>
      </c>
      <c r="G117" s="16">
        <v>0</v>
      </c>
      <c r="H117" s="16">
        <v>2</v>
      </c>
      <c r="I117" s="16">
        <v>2</v>
      </c>
      <c r="J117" s="16">
        <v>0</v>
      </c>
      <c r="K117" s="16">
        <v>0</v>
      </c>
      <c r="L117" s="16">
        <v>1</v>
      </c>
      <c r="M117" s="16">
        <v>1</v>
      </c>
      <c r="N117" s="16">
        <v>3</v>
      </c>
      <c r="O117" s="16">
        <v>2</v>
      </c>
      <c r="P117" t="s">
        <v>802</v>
      </c>
      <c r="Q117" t="s">
        <v>889</v>
      </c>
      <c r="R117" t="s">
        <v>1931</v>
      </c>
      <c r="AA117" s="8"/>
      <c r="AB117" s="8"/>
      <c r="AC117" s="8"/>
      <c r="AE117" s="8"/>
      <c r="AF117" s="8"/>
    </row>
    <row r="118" spans="1:32" x14ac:dyDescent="0.15">
      <c r="A118" t="s">
        <v>876</v>
      </c>
      <c r="B118" t="s">
        <v>877</v>
      </c>
      <c r="C118" s="8" t="s">
        <v>156</v>
      </c>
      <c r="D118">
        <v>3.65</v>
      </c>
      <c r="E118">
        <v>2.3199999999999998</v>
      </c>
      <c r="F118" t="s">
        <v>2082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2</v>
      </c>
      <c r="O118" s="16">
        <v>1</v>
      </c>
      <c r="P118" t="s">
        <v>802</v>
      </c>
      <c r="Q118" t="s">
        <v>878</v>
      </c>
      <c r="AA118" s="8"/>
      <c r="AB118" s="8"/>
      <c r="AC118" s="8"/>
      <c r="AE118" s="8"/>
      <c r="AF118" s="8"/>
    </row>
    <row r="119" spans="1:32" x14ac:dyDescent="0.15">
      <c r="A119" t="s">
        <v>1398</v>
      </c>
      <c r="B119" t="s">
        <v>1399</v>
      </c>
      <c r="C119" s="8" t="s">
        <v>156</v>
      </c>
      <c r="D119">
        <v>1.74</v>
      </c>
      <c r="E119">
        <v>1.26</v>
      </c>
      <c r="F119" t="s">
        <v>1961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2</v>
      </c>
      <c r="O119" s="16">
        <v>2</v>
      </c>
      <c r="P119" t="s">
        <v>1393</v>
      </c>
      <c r="Q119" t="s">
        <v>1400</v>
      </c>
      <c r="AA119" s="8"/>
      <c r="AB119" s="8"/>
      <c r="AC119" s="8"/>
      <c r="AE119" s="8"/>
      <c r="AF119" s="8"/>
    </row>
    <row r="120" spans="1:32" x14ac:dyDescent="0.15">
      <c r="A120" t="s">
        <v>1927</v>
      </c>
      <c r="B120" t="s">
        <v>1399</v>
      </c>
      <c r="C120" s="8" t="s">
        <v>156</v>
      </c>
      <c r="D120">
        <v>3.02</v>
      </c>
      <c r="E120">
        <v>1.43</v>
      </c>
      <c r="F120" t="s">
        <v>783</v>
      </c>
      <c r="G120" s="16">
        <v>0</v>
      </c>
      <c r="H120" s="16">
        <v>4</v>
      </c>
      <c r="I120" s="16">
        <v>1</v>
      </c>
      <c r="J120" s="16">
        <v>0</v>
      </c>
      <c r="K120" s="16">
        <v>0</v>
      </c>
      <c r="L120" s="16">
        <v>0</v>
      </c>
      <c r="M120" s="16">
        <v>1</v>
      </c>
      <c r="N120" s="16">
        <v>2</v>
      </c>
      <c r="O120" s="16">
        <v>2</v>
      </c>
      <c r="P120" t="s">
        <v>1393</v>
      </c>
      <c r="Q120" t="s">
        <v>1313</v>
      </c>
      <c r="AA120" s="8"/>
      <c r="AB120" s="8"/>
      <c r="AC120" s="8"/>
      <c r="AE120" s="8"/>
      <c r="AF120" s="8"/>
    </row>
    <row r="121" spans="1:32" x14ac:dyDescent="0.15">
      <c r="A121" t="s">
        <v>1619</v>
      </c>
      <c r="B121" t="s">
        <v>1620</v>
      </c>
      <c r="C121" s="8" t="s">
        <v>156</v>
      </c>
      <c r="D121">
        <v>4.3600000000000003</v>
      </c>
      <c r="E121">
        <v>1.54</v>
      </c>
      <c r="F121" t="s">
        <v>2031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2</v>
      </c>
      <c r="O121" s="16">
        <v>2</v>
      </c>
      <c r="P121" t="s">
        <v>1393</v>
      </c>
      <c r="Q121" t="s">
        <v>1394</v>
      </c>
      <c r="R121" t="s">
        <v>2139</v>
      </c>
      <c r="AA121" s="8"/>
      <c r="AB121" s="8"/>
      <c r="AC121" s="8"/>
      <c r="AE121" s="8"/>
      <c r="AF121" s="8"/>
    </row>
    <row r="122" spans="1:32" x14ac:dyDescent="0.15">
      <c r="A122" t="s">
        <v>1574</v>
      </c>
      <c r="B122" t="s">
        <v>1620</v>
      </c>
      <c r="C122" s="8" t="s">
        <v>156</v>
      </c>
      <c r="D122">
        <v>4.24</v>
      </c>
      <c r="E122">
        <v>2.4300000000000002</v>
      </c>
      <c r="F122" t="s">
        <v>2032</v>
      </c>
      <c r="G122" s="16">
        <v>2</v>
      </c>
      <c r="H122" s="16">
        <v>2</v>
      </c>
      <c r="I122" s="16">
        <v>1</v>
      </c>
      <c r="J122" s="16">
        <v>0</v>
      </c>
      <c r="K122" s="16">
        <v>0</v>
      </c>
      <c r="L122" s="16">
        <v>1</v>
      </c>
      <c r="M122" s="16">
        <v>1</v>
      </c>
      <c r="N122" s="16">
        <v>2</v>
      </c>
      <c r="O122" s="16">
        <v>2</v>
      </c>
      <c r="P122" t="s">
        <v>1393</v>
      </c>
      <c r="Q122" t="s">
        <v>1613</v>
      </c>
      <c r="R122" t="s">
        <v>2108</v>
      </c>
      <c r="AA122" s="8"/>
      <c r="AB122" s="8"/>
      <c r="AC122" s="8"/>
      <c r="AE122" s="8"/>
      <c r="AF122" s="8"/>
    </row>
    <row r="123" spans="1:32" x14ac:dyDescent="0.15">
      <c r="A123" t="s">
        <v>1687</v>
      </c>
      <c r="B123" t="s">
        <v>1688</v>
      </c>
      <c r="C123" s="8" t="s">
        <v>156</v>
      </c>
      <c r="D123">
        <v>2.19</v>
      </c>
      <c r="E123">
        <v>1.25</v>
      </c>
      <c r="F123" t="s">
        <v>2033</v>
      </c>
      <c r="G123" s="16">
        <v>0</v>
      </c>
      <c r="H123" s="16">
        <v>4</v>
      </c>
      <c r="I123" s="16">
        <v>1</v>
      </c>
      <c r="J123" s="16">
        <v>2</v>
      </c>
      <c r="K123" s="16">
        <v>1</v>
      </c>
      <c r="L123" s="16">
        <v>0</v>
      </c>
      <c r="M123" s="16">
        <v>1</v>
      </c>
      <c r="N123" s="16">
        <v>2</v>
      </c>
      <c r="O123" s="16">
        <v>2</v>
      </c>
      <c r="P123" t="s">
        <v>1393</v>
      </c>
      <c r="Q123" t="s">
        <v>1313</v>
      </c>
      <c r="R123" t="s">
        <v>2072</v>
      </c>
      <c r="AA123" s="8"/>
      <c r="AB123" s="8"/>
      <c r="AC123" s="8"/>
      <c r="AE123" s="8"/>
      <c r="AF123" s="8"/>
    </row>
    <row r="124" spans="1:32" x14ac:dyDescent="0.15">
      <c r="A124" t="s">
        <v>1708</v>
      </c>
      <c r="B124" t="s">
        <v>1765</v>
      </c>
      <c r="C124" s="8" t="s">
        <v>156</v>
      </c>
      <c r="D124">
        <v>2.99</v>
      </c>
      <c r="E124">
        <v>1.22</v>
      </c>
      <c r="F124" t="s">
        <v>2043</v>
      </c>
      <c r="G124" s="16">
        <v>0</v>
      </c>
      <c r="H124" s="16">
        <v>3</v>
      </c>
      <c r="I124" s="16">
        <v>2</v>
      </c>
      <c r="J124" s="16">
        <v>0</v>
      </c>
      <c r="K124" s="16">
        <v>0</v>
      </c>
      <c r="L124" s="16">
        <v>1</v>
      </c>
      <c r="M124" s="16">
        <v>1</v>
      </c>
      <c r="N124" s="16">
        <v>2</v>
      </c>
      <c r="O124" s="16">
        <v>2</v>
      </c>
      <c r="P124" t="s">
        <v>1396</v>
      </c>
      <c r="Q124" t="s">
        <v>1602</v>
      </c>
      <c r="AA124" s="8"/>
      <c r="AB124" s="8"/>
      <c r="AC124" s="8"/>
      <c r="AE124" s="8"/>
      <c r="AF124" s="8"/>
    </row>
    <row r="125" spans="1:32" x14ac:dyDescent="0.15">
      <c r="A125" t="s">
        <v>1618</v>
      </c>
      <c r="B125" t="s">
        <v>1399</v>
      </c>
      <c r="C125" s="8" t="s">
        <v>156</v>
      </c>
      <c r="D125">
        <v>1.78</v>
      </c>
      <c r="E125">
        <v>1.52</v>
      </c>
      <c r="F125" t="s">
        <v>2177</v>
      </c>
      <c r="G125" s="16">
        <v>0</v>
      </c>
      <c r="H125" s="16">
        <v>0</v>
      </c>
      <c r="I125" s="16">
        <v>0</v>
      </c>
      <c r="J125" s="16">
        <v>1</v>
      </c>
      <c r="K125" s="16">
        <v>1</v>
      </c>
      <c r="L125" s="16">
        <v>1</v>
      </c>
      <c r="M125" s="16">
        <v>1</v>
      </c>
      <c r="N125" s="16">
        <v>2</v>
      </c>
      <c r="O125" s="16">
        <v>0</v>
      </c>
      <c r="P125" t="s">
        <v>1393</v>
      </c>
      <c r="Q125" t="s">
        <v>1634</v>
      </c>
      <c r="AA125" s="8"/>
      <c r="AB125" s="8"/>
      <c r="AC125" s="8"/>
      <c r="AE125" s="8"/>
      <c r="AF125" s="8"/>
    </row>
    <row r="126" spans="1:32" x14ac:dyDescent="0.15">
      <c r="A126" t="s">
        <v>1681</v>
      </c>
      <c r="B126" t="s">
        <v>1399</v>
      </c>
      <c r="C126" s="8" t="s">
        <v>156</v>
      </c>
      <c r="D126">
        <v>2.0699999999999998</v>
      </c>
      <c r="E126">
        <v>1.21</v>
      </c>
      <c r="F126" t="s">
        <v>2178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1</v>
      </c>
      <c r="M126" s="16">
        <v>1</v>
      </c>
      <c r="N126" s="16">
        <v>2</v>
      </c>
      <c r="O126" s="16">
        <v>2</v>
      </c>
      <c r="P126" t="s">
        <v>1393</v>
      </c>
      <c r="Q126" t="s">
        <v>1313</v>
      </c>
      <c r="AA126" s="8"/>
      <c r="AB126" s="8"/>
      <c r="AC126" s="8"/>
      <c r="AE126" s="8"/>
      <c r="AF126" s="8"/>
    </row>
    <row r="127" spans="1:32" x14ac:dyDescent="0.15">
      <c r="A127" t="s">
        <v>1803</v>
      </c>
      <c r="B127" t="s">
        <v>1399</v>
      </c>
      <c r="C127" s="8" t="s">
        <v>156</v>
      </c>
      <c r="D127">
        <v>3.28</v>
      </c>
      <c r="E127">
        <v>1.83</v>
      </c>
      <c r="F127" t="s">
        <v>1897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1</v>
      </c>
      <c r="M127" s="16">
        <v>1</v>
      </c>
      <c r="N127" s="16">
        <v>2</v>
      </c>
      <c r="O127" s="16">
        <v>2</v>
      </c>
      <c r="P127" t="s">
        <v>1393</v>
      </c>
      <c r="Q127" t="s">
        <v>1313</v>
      </c>
      <c r="AA127" s="8"/>
      <c r="AB127" s="8"/>
      <c r="AC127" s="8"/>
      <c r="AE127" s="8"/>
      <c r="AF127" s="8"/>
    </row>
    <row r="128" spans="1:32" x14ac:dyDescent="0.15">
      <c r="A128" t="s">
        <v>1750</v>
      </c>
      <c r="B128" t="s">
        <v>1399</v>
      </c>
      <c r="C128" s="8" t="s">
        <v>156</v>
      </c>
      <c r="D128">
        <v>2.93</v>
      </c>
      <c r="E128">
        <v>1.03</v>
      </c>
      <c r="F128" t="s">
        <v>1899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2</v>
      </c>
      <c r="O128" s="16">
        <v>0</v>
      </c>
      <c r="P128" t="s">
        <v>1393</v>
      </c>
      <c r="Q128" t="s">
        <v>1610</v>
      </c>
      <c r="AA128" s="8"/>
      <c r="AB128" s="8"/>
      <c r="AC128" s="8"/>
      <c r="AE128" s="8"/>
      <c r="AF128" s="8"/>
    </row>
    <row r="129" spans="1:32" x14ac:dyDescent="0.15">
      <c r="A129" t="s">
        <v>1751</v>
      </c>
      <c r="B129" t="s">
        <v>1399</v>
      </c>
      <c r="C129" s="8" t="s">
        <v>156</v>
      </c>
      <c r="D129">
        <v>3.06</v>
      </c>
      <c r="E129">
        <v>1.38</v>
      </c>
      <c r="F129" t="s">
        <v>1900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1</v>
      </c>
      <c r="M129" s="16">
        <v>1</v>
      </c>
      <c r="N129" s="16">
        <v>2</v>
      </c>
      <c r="O129" s="16">
        <v>1</v>
      </c>
      <c r="P129" t="s">
        <v>1393</v>
      </c>
      <c r="Q129" t="s">
        <v>1313</v>
      </c>
      <c r="AA129" s="8"/>
      <c r="AB129" s="8"/>
      <c r="AC129" s="8"/>
      <c r="AE129" s="8"/>
      <c r="AF129" s="8"/>
    </row>
    <row r="130" spans="1:32" x14ac:dyDescent="0.15">
      <c r="A130" t="s">
        <v>1832</v>
      </c>
      <c r="B130" t="s">
        <v>1399</v>
      </c>
      <c r="C130" s="8" t="s">
        <v>156</v>
      </c>
      <c r="D130">
        <v>1.76</v>
      </c>
      <c r="E130">
        <v>1.4</v>
      </c>
      <c r="F130" t="s">
        <v>738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1</v>
      </c>
      <c r="N130" s="16">
        <v>2</v>
      </c>
      <c r="O130" s="16">
        <v>1</v>
      </c>
      <c r="P130" t="s">
        <v>1393</v>
      </c>
      <c r="Q130" t="s">
        <v>1313</v>
      </c>
      <c r="AA130" s="8"/>
      <c r="AB130" s="8"/>
      <c r="AC130" s="8"/>
      <c r="AE130" s="8"/>
      <c r="AF130" s="8"/>
    </row>
    <row r="131" spans="1:32" x14ac:dyDescent="0.15">
      <c r="A131" t="s">
        <v>1807</v>
      </c>
      <c r="B131" t="s">
        <v>1399</v>
      </c>
      <c r="C131" s="8" t="s">
        <v>156</v>
      </c>
      <c r="D131">
        <v>2.79</v>
      </c>
      <c r="E131">
        <v>2.08</v>
      </c>
      <c r="F131" t="s">
        <v>1999</v>
      </c>
      <c r="G131" s="16">
        <v>0</v>
      </c>
      <c r="H131" s="16">
        <v>2</v>
      </c>
      <c r="I131" s="16">
        <v>1</v>
      </c>
      <c r="J131" s="16">
        <v>0</v>
      </c>
      <c r="K131" s="16">
        <v>0</v>
      </c>
      <c r="L131" s="16">
        <v>1</v>
      </c>
      <c r="M131" s="16">
        <v>1</v>
      </c>
      <c r="N131" s="16">
        <v>2</v>
      </c>
      <c r="O131" s="16">
        <v>2</v>
      </c>
      <c r="P131" t="s">
        <v>1393</v>
      </c>
      <c r="Q131" t="s">
        <v>1313</v>
      </c>
      <c r="AA131" s="8"/>
      <c r="AB131" s="8"/>
      <c r="AC131" s="8"/>
      <c r="AE131" s="8"/>
      <c r="AF131" s="8"/>
    </row>
    <row r="132" spans="1:32" x14ac:dyDescent="0.15">
      <c r="A132" t="s">
        <v>1745</v>
      </c>
      <c r="B132" t="s">
        <v>1793</v>
      </c>
      <c r="C132" s="8" t="s">
        <v>156</v>
      </c>
      <c r="D132">
        <v>5.3</v>
      </c>
      <c r="E132">
        <v>1.9</v>
      </c>
      <c r="F132" t="s">
        <v>1746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2</v>
      </c>
      <c r="O132" s="16">
        <v>0</v>
      </c>
      <c r="P132" t="s">
        <v>1794</v>
      </c>
      <c r="Q132" t="s">
        <v>1795</v>
      </c>
      <c r="AA132" s="8"/>
      <c r="AB132" s="8"/>
      <c r="AC132" s="8"/>
      <c r="AE132" s="8"/>
      <c r="AF132" s="8"/>
    </row>
    <row r="133" spans="1:32" x14ac:dyDescent="0.15">
      <c r="A133" t="s">
        <v>1855</v>
      </c>
      <c r="B133" t="s">
        <v>1620</v>
      </c>
      <c r="C133" s="8" t="s">
        <v>156</v>
      </c>
      <c r="D133">
        <v>3.08</v>
      </c>
      <c r="E133">
        <v>2.06</v>
      </c>
      <c r="F133" t="s">
        <v>1812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1</v>
      </c>
      <c r="M133" s="16">
        <v>1</v>
      </c>
      <c r="N133" s="16">
        <v>3</v>
      </c>
      <c r="O133" s="16">
        <v>2</v>
      </c>
      <c r="P133" t="s">
        <v>1393</v>
      </c>
      <c r="Q133" t="s">
        <v>1313</v>
      </c>
      <c r="R133" t="s">
        <v>1742</v>
      </c>
      <c r="AA133" s="8"/>
      <c r="AB133" s="8"/>
      <c r="AC133" s="8"/>
      <c r="AE133" s="8"/>
      <c r="AF133" s="8"/>
    </row>
    <row r="134" spans="1:32" x14ac:dyDescent="0.15">
      <c r="A134" t="s">
        <v>1754</v>
      </c>
      <c r="B134" t="s">
        <v>1755</v>
      </c>
      <c r="C134" s="8" t="s">
        <v>156</v>
      </c>
      <c r="D134">
        <v>2.86</v>
      </c>
      <c r="E134">
        <v>1.36</v>
      </c>
      <c r="F134" t="s">
        <v>1954</v>
      </c>
      <c r="G134" s="16">
        <v>0</v>
      </c>
      <c r="H134" s="16">
        <v>3</v>
      </c>
      <c r="I134" s="16">
        <v>1</v>
      </c>
      <c r="J134" s="16">
        <v>2</v>
      </c>
      <c r="K134" s="16">
        <v>2</v>
      </c>
      <c r="L134" s="16">
        <v>1</v>
      </c>
      <c r="M134" s="16">
        <v>1</v>
      </c>
      <c r="N134" s="16">
        <v>3</v>
      </c>
      <c r="O134" s="16">
        <v>2</v>
      </c>
      <c r="P134" t="s">
        <v>1393</v>
      </c>
      <c r="Q134" t="s">
        <v>1313</v>
      </c>
      <c r="R134" t="s">
        <v>1935</v>
      </c>
      <c r="AA134" s="8"/>
      <c r="AB134" s="8"/>
      <c r="AC134" s="8"/>
      <c r="AE134" s="8"/>
      <c r="AF134" s="8"/>
    </row>
    <row r="135" spans="1:32" x14ac:dyDescent="0.15">
      <c r="A135" t="s">
        <v>1919</v>
      </c>
      <c r="B135" t="s">
        <v>1620</v>
      </c>
      <c r="C135" s="8" t="s">
        <v>156</v>
      </c>
      <c r="D135">
        <v>7.48</v>
      </c>
      <c r="E135">
        <v>4.1399999999999997</v>
      </c>
      <c r="F135" t="s">
        <v>1920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</v>
      </c>
      <c r="N135" s="16">
        <v>3</v>
      </c>
      <c r="O135" s="16">
        <v>2</v>
      </c>
      <c r="P135" t="s">
        <v>1393</v>
      </c>
      <c r="Q135" t="s">
        <v>1313</v>
      </c>
      <c r="R135" t="s">
        <v>1929</v>
      </c>
      <c r="AA135" s="8"/>
      <c r="AB135" s="8"/>
      <c r="AC135" s="8"/>
      <c r="AE135" s="8"/>
      <c r="AF135" s="8"/>
    </row>
    <row r="136" spans="1:32" x14ac:dyDescent="0.15">
      <c r="A136" t="s">
        <v>1923</v>
      </c>
      <c r="B136" t="s">
        <v>1399</v>
      </c>
      <c r="C136" s="8" t="s">
        <v>156</v>
      </c>
      <c r="D136">
        <v>2.66</v>
      </c>
      <c r="E136">
        <v>1.92</v>
      </c>
      <c r="F136" t="s">
        <v>1924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2</v>
      </c>
      <c r="O136" s="16">
        <v>1</v>
      </c>
      <c r="P136" t="s">
        <v>1393</v>
      </c>
      <c r="Q136" t="s">
        <v>1394</v>
      </c>
      <c r="R136" t="s">
        <v>1744</v>
      </c>
      <c r="AA136" s="8"/>
      <c r="AB136" s="8"/>
      <c r="AC136" s="8"/>
      <c r="AE136" s="8"/>
      <c r="AF136" s="8"/>
    </row>
    <row r="137" spans="1:32" x14ac:dyDescent="0.15">
      <c r="A137" t="s">
        <v>1955</v>
      </c>
      <c r="B137" t="s">
        <v>1620</v>
      </c>
      <c r="C137" s="8" t="s">
        <v>156</v>
      </c>
      <c r="D137">
        <v>1.98</v>
      </c>
      <c r="E137">
        <v>1.65</v>
      </c>
      <c r="F137" t="s">
        <v>1956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1</v>
      </c>
      <c r="M137" s="16">
        <v>1</v>
      </c>
      <c r="N137" s="16">
        <v>2</v>
      </c>
      <c r="O137" s="16">
        <v>2</v>
      </c>
      <c r="P137" t="s">
        <v>1393</v>
      </c>
      <c r="Q137" t="s">
        <v>1313</v>
      </c>
      <c r="R137" t="s">
        <v>1749</v>
      </c>
      <c r="AA137" s="8"/>
      <c r="AB137" s="8"/>
      <c r="AC137" s="8"/>
      <c r="AE137" s="8"/>
      <c r="AF137" s="8"/>
    </row>
    <row r="138" spans="1:32" x14ac:dyDescent="0.15">
      <c r="A138" t="s">
        <v>757</v>
      </c>
      <c r="B138" t="s">
        <v>758</v>
      </c>
      <c r="C138" s="8" t="s">
        <v>156</v>
      </c>
      <c r="D138">
        <f>0.42*15.72</f>
        <v>6.6024000000000003</v>
      </c>
      <c r="E138">
        <f>0.42*9.95</f>
        <v>4.1789999999999994</v>
      </c>
      <c r="F138" t="s">
        <v>759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1</v>
      </c>
      <c r="M138" s="16">
        <v>1</v>
      </c>
      <c r="N138" s="16">
        <v>2</v>
      </c>
      <c r="O138" s="16">
        <v>1</v>
      </c>
      <c r="P138" t="s">
        <v>798</v>
      </c>
      <c r="Q138" t="s">
        <v>760</v>
      </c>
      <c r="R138" t="s">
        <v>2271</v>
      </c>
      <c r="AA138" s="8"/>
      <c r="AB138" s="8"/>
      <c r="AC138" s="8"/>
      <c r="AE138" s="8"/>
      <c r="AF138" s="8"/>
    </row>
    <row r="139" spans="1:32" x14ac:dyDescent="0.15">
      <c r="A139" t="s">
        <v>684</v>
      </c>
      <c r="B139" t="s">
        <v>758</v>
      </c>
      <c r="C139" s="8" t="s">
        <v>156</v>
      </c>
      <c r="D139">
        <f>0.42*3.03</f>
        <v>1.2726</v>
      </c>
      <c r="E139">
        <f>0.42*3.28</f>
        <v>1.3775999999999999</v>
      </c>
      <c r="F139" t="s">
        <v>685</v>
      </c>
      <c r="G139" s="16">
        <v>0</v>
      </c>
      <c r="H139" s="16">
        <v>2</v>
      </c>
      <c r="I139" s="16">
        <v>2</v>
      </c>
      <c r="J139" s="16">
        <v>0</v>
      </c>
      <c r="K139" s="16">
        <v>0</v>
      </c>
      <c r="L139" s="16">
        <v>0</v>
      </c>
      <c r="M139" s="16">
        <v>0</v>
      </c>
      <c r="N139" s="16">
        <v>2</v>
      </c>
      <c r="O139" s="16">
        <v>2</v>
      </c>
      <c r="P139" t="s">
        <v>798</v>
      </c>
      <c r="Q139" t="s">
        <v>563</v>
      </c>
      <c r="R139" t="s">
        <v>2117</v>
      </c>
      <c r="AA139" s="8"/>
      <c r="AB139" s="8"/>
      <c r="AC139" s="8"/>
      <c r="AE139" s="8"/>
      <c r="AF139" s="8"/>
    </row>
    <row r="140" spans="1:32" x14ac:dyDescent="0.15">
      <c r="A140" t="s">
        <v>713</v>
      </c>
      <c r="B140" t="s">
        <v>714</v>
      </c>
      <c r="C140" s="8" t="s">
        <v>156</v>
      </c>
      <c r="D140">
        <v>2.02</v>
      </c>
      <c r="E140">
        <v>1.64</v>
      </c>
      <c r="F140" t="s">
        <v>715</v>
      </c>
      <c r="G140" s="16">
        <v>0</v>
      </c>
      <c r="H140" s="16">
        <v>2</v>
      </c>
      <c r="I140" s="16">
        <v>1</v>
      </c>
      <c r="J140" s="16">
        <v>0</v>
      </c>
      <c r="K140" s="16">
        <v>0</v>
      </c>
      <c r="L140" s="16">
        <v>0</v>
      </c>
      <c r="M140" s="16">
        <v>0</v>
      </c>
      <c r="N140" s="16">
        <v>2</v>
      </c>
      <c r="O140" s="16">
        <v>1</v>
      </c>
      <c r="P140" t="s">
        <v>798</v>
      </c>
      <c r="Q140" t="s">
        <v>563</v>
      </c>
      <c r="R140" t="s">
        <v>2323</v>
      </c>
      <c r="AA140" s="8"/>
      <c r="AB140" s="8"/>
      <c r="AC140" s="8"/>
      <c r="AE140" s="8"/>
      <c r="AF140" s="8"/>
    </row>
    <row r="141" spans="1:32" x14ac:dyDescent="0.15">
      <c r="A141" t="s">
        <v>625</v>
      </c>
      <c r="B141" t="s">
        <v>621</v>
      </c>
      <c r="C141" s="8" t="s">
        <v>156</v>
      </c>
      <c r="D141">
        <f>0.42*4.62</f>
        <v>1.9403999999999999</v>
      </c>
      <c r="E141">
        <f>0.42*2.92</f>
        <v>1.2263999999999999</v>
      </c>
      <c r="F141" t="s">
        <v>622</v>
      </c>
      <c r="G141" s="16">
        <v>2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1</v>
      </c>
      <c r="N141" s="16">
        <v>2</v>
      </c>
      <c r="O141" s="16">
        <v>2</v>
      </c>
      <c r="P141" t="s">
        <v>798</v>
      </c>
      <c r="Q141" t="s">
        <v>799</v>
      </c>
      <c r="R141" t="s">
        <v>2353</v>
      </c>
      <c r="AA141" s="8"/>
      <c r="AB141" s="8"/>
      <c r="AC141" s="8"/>
      <c r="AE141" s="8"/>
      <c r="AF141" s="8"/>
    </row>
    <row r="142" spans="1:32" x14ac:dyDescent="0.15">
      <c r="A142" t="s">
        <v>610</v>
      </c>
      <c r="B142" t="s">
        <v>714</v>
      </c>
      <c r="C142" s="8" t="s">
        <v>156</v>
      </c>
      <c r="D142">
        <f>0.42*5.03</f>
        <v>2.1126</v>
      </c>
      <c r="E142">
        <f>0.42*2.51</f>
        <v>1.0541999999999998</v>
      </c>
      <c r="F142" t="s">
        <v>611</v>
      </c>
      <c r="G142" s="16">
        <v>3</v>
      </c>
      <c r="H142" s="16">
        <v>2</v>
      </c>
      <c r="I142" s="16">
        <v>1</v>
      </c>
      <c r="J142" s="16">
        <v>1</v>
      </c>
      <c r="K142" s="16">
        <v>2</v>
      </c>
      <c r="L142" s="16">
        <v>1</v>
      </c>
      <c r="M142" s="16">
        <v>1</v>
      </c>
      <c r="N142" s="16">
        <v>2</v>
      </c>
      <c r="O142" s="16">
        <v>2</v>
      </c>
      <c r="P142" t="s">
        <v>612</v>
      </c>
      <c r="Q142" t="s">
        <v>799</v>
      </c>
      <c r="R142" t="s">
        <v>2354</v>
      </c>
      <c r="AA142" s="8"/>
      <c r="AB142" s="8"/>
      <c r="AC142" s="8"/>
      <c r="AE142" s="8"/>
      <c r="AF142" s="8"/>
    </row>
    <row r="143" spans="1:32" x14ac:dyDescent="0.15">
      <c r="A143" t="s">
        <v>750</v>
      </c>
      <c r="B143" t="s">
        <v>621</v>
      </c>
      <c r="C143" s="8" t="s">
        <v>156</v>
      </c>
      <c r="D143">
        <v>2.85</v>
      </c>
      <c r="E143">
        <v>1.19</v>
      </c>
      <c r="F143" t="s">
        <v>751</v>
      </c>
      <c r="G143" s="16">
        <v>0</v>
      </c>
      <c r="H143" s="16">
        <v>5</v>
      </c>
      <c r="I143" s="16">
        <v>2</v>
      </c>
      <c r="J143" s="16">
        <v>0</v>
      </c>
      <c r="K143" s="16">
        <v>0</v>
      </c>
      <c r="L143" s="16">
        <v>1</v>
      </c>
      <c r="M143" s="16">
        <v>1</v>
      </c>
      <c r="N143" s="16">
        <v>2</v>
      </c>
      <c r="O143" s="16">
        <v>2</v>
      </c>
      <c r="P143" t="s">
        <v>740</v>
      </c>
      <c r="Q143" t="s">
        <v>559</v>
      </c>
      <c r="AA143" s="8"/>
      <c r="AB143" s="8"/>
      <c r="AC143" s="8"/>
      <c r="AE143" s="8"/>
      <c r="AF143" s="8"/>
    </row>
    <row r="144" spans="1:32" x14ac:dyDescent="0.15">
      <c r="A144" t="s">
        <v>469</v>
      </c>
      <c r="B144" t="s">
        <v>758</v>
      </c>
      <c r="C144" s="8" t="s">
        <v>156</v>
      </c>
      <c r="D144">
        <v>1.8</v>
      </c>
      <c r="E144">
        <v>1.25</v>
      </c>
      <c r="F144" t="s">
        <v>470</v>
      </c>
      <c r="G144" s="16">
        <v>0</v>
      </c>
      <c r="H144" s="16">
        <v>0</v>
      </c>
      <c r="I144" s="16">
        <v>0</v>
      </c>
      <c r="J144" s="16">
        <v>1</v>
      </c>
      <c r="K144" s="16">
        <v>2</v>
      </c>
      <c r="L144" s="16">
        <v>1</v>
      </c>
      <c r="M144" s="16">
        <v>1</v>
      </c>
      <c r="N144" s="16">
        <v>2</v>
      </c>
      <c r="O144" s="16">
        <v>2</v>
      </c>
      <c r="P144" t="s">
        <v>764</v>
      </c>
      <c r="Q144" t="s">
        <v>637</v>
      </c>
      <c r="R144" t="s">
        <v>2427</v>
      </c>
      <c r="AA144" s="8"/>
      <c r="AB144" s="8"/>
      <c r="AC144" s="8"/>
      <c r="AE144" s="8"/>
      <c r="AF144" s="8"/>
    </row>
    <row r="145" spans="1:32" x14ac:dyDescent="0.15">
      <c r="A145" t="s">
        <v>579</v>
      </c>
      <c r="B145" t="s">
        <v>580</v>
      </c>
      <c r="C145" s="8" t="s">
        <v>156</v>
      </c>
      <c r="D145">
        <v>1.39</v>
      </c>
      <c r="E145">
        <v>0.65</v>
      </c>
      <c r="F145" t="s">
        <v>581</v>
      </c>
      <c r="G145" s="16">
        <v>0</v>
      </c>
      <c r="H145" s="16">
        <v>2</v>
      </c>
      <c r="I145" s="16">
        <v>1</v>
      </c>
      <c r="J145" s="16">
        <v>0</v>
      </c>
      <c r="K145" s="16">
        <v>0</v>
      </c>
      <c r="L145" s="16">
        <v>0</v>
      </c>
      <c r="M145" s="16">
        <v>0</v>
      </c>
      <c r="N145" s="16">
        <v>2</v>
      </c>
      <c r="O145" s="16">
        <v>2</v>
      </c>
      <c r="P145" t="s">
        <v>798</v>
      </c>
      <c r="Q145" t="s">
        <v>563</v>
      </c>
      <c r="AA145" s="8"/>
      <c r="AB145" s="8"/>
      <c r="AC145" s="8"/>
      <c r="AE145" s="8"/>
      <c r="AF145" s="8"/>
    </row>
    <row r="146" spans="1:32" x14ac:dyDescent="0.15">
      <c r="A146" t="s">
        <v>630</v>
      </c>
      <c r="B146" t="s">
        <v>714</v>
      </c>
      <c r="C146" s="8" t="s">
        <v>156</v>
      </c>
      <c r="D146">
        <v>4.24</v>
      </c>
      <c r="E146">
        <v>1.25</v>
      </c>
      <c r="F146" t="s">
        <v>634</v>
      </c>
      <c r="G146" s="16">
        <v>0</v>
      </c>
      <c r="H146" s="16">
        <v>6</v>
      </c>
      <c r="I146" s="16">
        <v>1</v>
      </c>
      <c r="J146" s="16">
        <v>2</v>
      </c>
      <c r="K146" s="16">
        <v>1</v>
      </c>
      <c r="L146" s="16">
        <v>1</v>
      </c>
      <c r="M146" s="16">
        <v>2</v>
      </c>
      <c r="N146" s="16">
        <v>2</v>
      </c>
      <c r="O146" s="16">
        <v>2</v>
      </c>
      <c r="P146" t="s">
        <v>798</v>
      </c>
      <c r="Q146" t="s">
        <v>637</v>
      </c>
      <c r="R146" t="s">
        <v>2382</v>
      </c>
      <c r="AA146" s="8"/>
      <c r="AB146" s="8"/>
      <c r="AC146" s="8"/>
      <c r="AE146" s="8"/>
      <c r="AF146" s="8"/>
    </row>
    <row r="147" spans="1:32" x14ac:dyDescent="0.15">
      <c r="A147" t="s">
        <v>546</v>
      </c>
      <c r="B147" t="s">
        <v>758</v>
      </c>
      <c r="C147" s="8" t="s">
        <v>156</v>
      </c>
      <c r="D147">
        <f>0.42*5.69</f>
        <v>2.3898000000000001</v>
      </c>
      <c r="E147">
        <f>0.42*4.34</f>
        <v>1.8228</v>
      </c>
      <c r="F147" t="s">
        <v>547</v>
      </c>
      <c r="G147" s="16">
        <v>0</v>
      </c>
      <c r="H147" s="16">
        <v>0</v>
      </c>
      <c r="I147" s="16">
        <v>0</v>
      </c>
      <c r="J147" s="16">
        <v>2</v>
      </c>
      <c r="K147" s="16">
        <v>1</v>
      </c>
      <c r="L147" s="16">
        <v>1</v>
      </c>
      <c r="M147" s="16">
        <v>2</v>
      </c>
      <c r="N147" s="16">
        <v>1</v>
      </c>
      <c r="O147" s="16">
        <v>0</v>
      </c>
      <c r="P147" t="s">
        <v>798</v>
      </c>
      <c r="Q147" t="s">
        <v>687</v>
      </c>
      <c r="R147" t="s">
        <v>2305</v>
      </c>
      <c r="AA147" s="8"/>
      <c r="AB147" s="8"/>
      <c r="AC147" s="8"/>
      <c r="AE147" s="8"/>
      <c r="AF147" s="8"/>
    </row>
    <row r="148" spans="1:32" x14ac:dyDescent="0.15">
      <c r="A148" t="s">
        <v>601</v>
      </c>
      <c r="B148" t="s">
        <v>714</v>
      </c>
      <c r="C148" s="8" t="s">
        <v>156</v>
      </c>
      <c r="D148">
        <v>2.15</v>
      </c>
      <c r="E148">
        <v>0.89</v>
      </c>
      <c r="F148" t="s">
        <v>602</v>
      </c>
      <c r="G148" s="16">
        <v>0</v>
      </c>
      <c r="H148" s="16">
        <v>2</v>
      </c>
      <c r="I148" s="16">
        <v>1</v>
      </c>
      <c r="J148" s="16">
        <v>0</v>
      </c>
      <c r="K148" s="16">
        <v>0</v>
      </c>
      <c r="L148" s="16">
        <v>0</v>
      </c>
      <c r="M148" s="16">
        <v>1</v>
      </c>
      <c r="N148" s="16">
        <v>2</v>
      </c>
      <c r="O148" s="16">
        <v>2</v>
      </c>
      <c r="P148" t="s">
        <v>603</v>
      </c>
      <c r="Q148" t="s">
        <v>559</v>
      </c>
      <c r="AA148" s="8"/>
      <c r="AB148" s="8"/>
      <c r="AC148" s="8"/>
      <c r="AE148" s="8"/>
      <c r="AF148" s="8"/>
    </row>
    <row r="149" spans="1:32" x14ac:dyDescent="0.15">
      <c r="A149" t="s">
        <v>604</v>
      </c>
      <c r="B149" t="s">
        <v>714</v>
      </c>
      <c r="C149" s="8" t="s">
        <v>156</v>
      </c>
      <c r="D149">
        <v>2.42</v>
      </c>
      <c r="E149">
        <v>0.97</v>
      </c>
      <c r="F149" t="s">
        <v>605</v>
      </c>
      <c r="G149" s="16">
        <v>0</v>
      </c>
      <c r="H149" s="16">
        <v>3</v>
      </c>
      <c r="I149" s="16">
        <v>1</v>
      </c>
      <c r="J149" s="16">
        <v>0</v>
      </c>
      <c r="K149" s="16">
        <v>0</v>
      </c>
      <c r="L149" s="16">
        <v>1</v>
      </c>
      <c r="M149" s="16">
        <v>1</v>
      </c>
      <c r="N149" s="16">
        <v>2</v>
      </c>
      <c r="O149" s="16">
        <v>2</v>
      </c>
      <c r="P149" t="s">
        <v>740</v>
      </c>
      <c r="Q149" t="s">
        <v>637</v>
      </c>
      <c r="AA149" s="8"/>
      <c r="AB149" s="8"/>
      <c r="AC149" s="8"/>
      <c r="AE149" s="8"/>
      <c r="AF149" s="8"/>
    </row>
    <row r="150" spans="1:32" x14ac:dyDescent="0.15">
      <c r="A150" t="s">
        <v>385</v>
      </c>
      <c r="B150" t="s">
        <v>714</v>
      </c>
      <c r="C150" s="8" t="s">
        <v>156</v>
      </c>
      <c r="D150">
        <v>2.0699999999999998</v>
      </c>
      <c r="E150">
        <v>1.28</v>
      </c>
      <c r="F150" t="s">
        <v>386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2</v>
      </c>
      <c r="O150" s="16">
        <v>0</v>
      </c>
      <c r="P150" t="s">
        <v>798</v>
      </c>
      <c r="Q150" t="s">
        <v>387</v>
      </c>
      <c r="AA150" s="8"/>
      <c r="AB150" s="8"/>
      <c r="AC150" s="8"/>
      <c r="AE150" s="8"/>
      <c r="AF150" s="8"/>
    </row>
    <row r="151" spans="1:32" x14ac:dyDescent="0.15">
      <c r="A151" t="s">
        <v>504</v>
      </c>
      <c r="B151" t="s">
        <v>714</v>
      </c>
      <c r="C151" s="8" t="s">
        <v>156</v>
      </c>
      <c r="D151">
        <v>2.17</v>
      </c>
      <c r="E151">
        <v>1.0900000000000001</v>
      </c>
      <c r="F151" t="s">
        <v>505</v>
      </c>
      <c r="G151" s="16">
        <v>0</v>
      </c>
      <c r="H151" s="16">
        <v>2</v>
      </c>
      <c r="I151" s="16">
        <v>1</v>
      </c>
      <c r="J151" s="16">
        <v>0</v>
      </c>
      <c r="K151" s="16">
        <v>0</v>
      </c>
      <c r="L151" s="16">
        <v>1</v>
      </c>
      <c r="M151" s="16">
        <v>1</v>
      </c>
      <c r="N151" s="16">
        <v>2</v>
      </c>
      <c r="O151" s="16">
        <v>2</v>
      </c>
      <c r="P151" t="s">
        <v>694</v>
      </c>
      <c r="Q151" t="s">
        <v>637</v>
      </c>
      <c r="R151" t="s">
        <v>2389</v>
      </c>
      <c r="AA151" s="8"/>
      <c r="AB151" s="8"/>
      <c r="AC151" s="8"/>
      <c r="AE151" s="8"/>
      <c r="AF151" s="8"/>
    </row>
    <row r="152" spans="1:32" x14ac:dyDescent="0.15">
      <c r="A152" t="s">
        <v>506</v>
      </c>
      <c r="B152" t="s">
        <v>621</v>
      </c>
      <c r="C152" s="8" t="s">
        <v>156</v>
      </c>
      <c r="D152">
        <v>3.05</v>
      </c>
      <c r="E152">
        <v>1.22</v>
      </c>
      <c r="F152" t="s">
        <v>507</v>
      </c>
      <c r="G152" s="16">
        <v>0</v>
      </c>
      <c r="H152" s="16">
        <v>2</v>
      </c>
      <c r="I152" s="16">
        <v>2</v>
      </c>
      <c r="J152" s="16">
        <v>0</v>
      </c>
      <c r="K152" s="16">
        <v>0</v>
      </c>
      <c r="L152" s="16">
        <v>1</v>
      </c>
      <c r="M152" s="16">
        <v>1</v>
      </c>
      <c r="N152" s="16">
        <v>2</v>
      </c>
      <c r="O152" s="16">
        <v>2</v>
      </c>
      <c r="P152" t="s">
        <v>798</v>
      </c>
      <c r="Q152" t="s">
        <v>637</v>
      </c>
      <c r="AA152" s="8"/>
      <c r="AB152" s="8"/>
      <c r="AC152" s="8"/>
      <c r="AE152" s="8"/>
      <c r="AF152" s="8"/>
    </row>
    <row r="153" spans="1:32" x14ac:dyDescent="0.15">
      <c r="A153" t="s">
        <v>511</v>
      </c>
      <c r="B153" t="s">
        <v>714</v>
      </c>
      <c r="C153" s="8" t="s">
        <v>156</v>
      </c>
      <c r="D153">
        <v>3.37</v>
      </c>
      <c r="E153">
        <v>1.54</v>
      </c>
      <c r="F153" t="s">
        <v>512</v>
      </c>
      <c r="G153" s="16">
        <v>0</v>
      </c>
      <c r="H153" s="16">
        <v>1</v>
      </c>
      <c r="I153" s="16">
        <v>1</v>
      </c>
      <c r="J153" s="16">
        <v>0</v>
      </c>
      <c r="K153" s="16">
        <v>0</v>
      </c>
      <c r="L153" s="16">
        <v>1</v>
      </c>
      <c r="M153" s="16">
        <v>1</v>
      </c>
      <c r="N153" s="16">
        <v>2</v>
      </c>
      <c r="O153" s="16">
        <v>2</v>
      </c>
      <c r="P153" t="s">
        <v>798</v>
      </c>
      <c r="Q153" t="s">
        <v>637</v>
      </c>
      <c r="R153" t="s">
        <v>2063</v>
      </c>
      <c r="AA153" s="8"/>
      <c r="AB153" s="8"/>
      <c r="AC153" s="8"/>
      <c r="AE153" s="8"/>
      <c r="AF153" s="8"/>
    </row>
    <row r="154" spans="1:32" x14ac:dyDescent="0.15">
      <c r="A154" t="s">
        <v>477</v>
      </c>
      <c r="B154" t="s">
        <v>398</v>
      </c>
      <c r="C154" s="8" t="s">
        <v>156</v>
      </c>
      <c r="D154">
        <f>0.42*5.81</f>
        <v>2.4401999999999999</v>
      </c>
      <c r="E154">
        <f>0.42*3.79</f>
        <v>1.5917999999999999</v>
      </c>
      <c r="F154" t="s">
        <v>399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1</v>
      </c>
      <c r="M154" s="16">
        <v>1</v>
      </c>
      <c r="N154" s="16">
        <v>2</v>
      </c>
      <c r="O154" s="16">
        <v>2</v>
      </c>
      <c r="P154" t="s">
        <v>400</v>
      </c>
      <c r="Q154" t="s">
        <v>559</v>
      </c>
      <c r="AA154" s="8"/>
      <c r="AB154" s="8"/>
      <c r="AC154" s="8"/>
      <c r="AE154" s="8"/>
      <c r="AF154" s="8"/>
    </row>
    <row r="155" spans="1:32" x14ac:dyDescent="0.15">
      <c r="A155" t="s">
        <v>629</v>
      </c>
      <c r="B155" t="s">
        <v>714</v>
      </c>
      <c r="C155" s="8" t="s">
        <v>156</v>
      </c>
      <c r="D155">
        <v>3.41</v>
      </c>
      <c r="E155">
        <v>2.15</v>
      </c>
      <c r="F155" t="s">
        <v>380</v>
      </c>
      <c r="G155" s="16">
        <v>1</v>
      </c>
      <c r="H155" s="16">
        <v>4</v>
      </c>
      <c r="I155" s="16">
        <v>2</v>
      </c>
      <c r="J155" s="16">
        <v>0</v>
      </c>
      <c r="K155" s="16">
        <v>0</v>
      </c>
      <c r="L155" s="16">
        <v>0</v>
      </c>
      <c r="M155" s="16">
        <v>0</v>
      </c>
      <c r="N155" s="16">
        <v>2</v>
      </c>
      <c r="O155" s="16">
        <v>2</v>
      </c>
      <c r="P155" t="s">
        <v>798</v>
      </c>
      <c r="Q155" t="s">
        <v>799</v>
      </c>
      <c r="R155" t="s">
        <v>2363</v>
      </c>
      <c r="AA155" s="8"/>
      <c r="AB155" s="8"/>
      <c r="AC155" s="8"/>
      <c r="AE155" s="8"/>
      <c r="AF155" s="8"/>
    </row>
    <row r="156" spans="1:32" x14ac:dyDescent="0.15">
      <c r="A156" t="s">
        <v>426</v>
      </c>
      <c r="B156" t="s">
        <v>580</v>
      </c>
      <c r="C156" s="8" t="s">
        <v>156</v>
      </c>
      <c r="D156">
        <v>2.48</v>
      </c>
      <c r="E156">
        <v>1.18</v>
      </c>
      <c r="F156" t="s">
        <v>427</v>
      </c>
      <c r="G156" s="16">
        <v>0</v>
      </c>
      <c r="H156" s="16">
        <v>4</v>
      </c>
      <c r="I156" s="16">
        <v>1</v>
      </c>
      <c r="J156" s="16">
        <v>0</v>
      </c>
      <c r="K156" s="16">
        <v>0</v>
      </c>
      <c r="L156" s="16">
        <v>1</v>
      </c>
      <c r="M156" s="16">
        <v>1</v>
      </c>
      <c r="N156" s="16">
        <v>2</v>
      </c>
      <c r="O156" s="16">
        <v>2</v>
      </c>
      <c r="P156" t="s">
        <v>798</v>
      </c>
      <c r="Q156" t="s">
        <v>637</v>
      </c>
      <c r="AA156" s="8"/>
      <c r="AB156" s="8"/>
      <c r="AC156" s="8"/>
      <c r="AE156" s="8"/>
      <c r="AF156" s="8"/>
    </row>
    <row r="157" spans="1:32" x14ac:dyDescent="0.15">
      <c r="A157" t="s">
        <v>459</v>
      </c>
      <c r="B157" t="s">
        <v>714</v>
      </c>
      <c r="C157" s="8" t="s">
        <v>156</v>
      </c>
      <c r="D157">
        <v>9.32</v>
      </c>
      <c r="E157">
        <v>2.2200000000000002</v>
      </c>
      <c r="F157" t="s">
        <v>297</v>
      </c>
      <c r="G157" s="16">
        <v>0</v>
      </c>
      <c r="H157" s="16">
        <v>0</v>
      </c>
      <c r="I157" s="16">
        <v>0</v>
      </c>
      <c r="J157" s="16">
        <v>1</v>
      </c>
      <c r="K157" s="16">
        <v>1</v>
      </c>
      <c r="L157" s="16">
        <v>0</v>
      </c>
      <c r="M157" s="16">
        <v>1</v>
      </c>
      <c r="N157" s="16">
        <v>2</v>
      </c>
      <c r="O157" s="16">
        <v>2</v>
      </c>
      <c r="P157" t="s">
        <v>425</v>
      </c>
      <c r="Q157" t="s">
        <v>559</v>
      </c>
      <c r="AA157" s="8"/>
      <c r="AB157" s="8"/>
      <c r="AC157" s="8"/>
      <c r="AE157" s="8"/>
      <c r="AF157" s="8"/>
    </row>
    <row r="158" spans="1:32" x14ac:dyDescent="0.15">
      <c r="A158" t="s">
        <v>1108</v>
      </c>
      <c r="B158" t="s">
        <v>1042</v>
      </c>
      <c r="C158" s="8" t="s">
        <v>156</v>
      </c>
      <c r="D158">
        <v>3.72</v>
      </c>
      <c r="E158">
        <v>1.24</v>
      </c>
      <c r="F158" t="s">
        <v>737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2</v>
      </c>
      <c r="O158" s="16">
        <v>1</v>
      </c>
      <c r="P158" t="s">
        <v>732</v>
      </c>
      <c r="Q158" t="s">
        <v>1043</v>
      </c>
      <c r="AA158" s="8"/>
      <c r="AB158" s="8"/>
      <c r="AC158" s="8"/>
      <c r="AE158" s="8"/>
      <c r="AF158" s="8"/>
    </row>
    <row r="159" spans="1:32" x14ac:dyDescent="0.15">
      <c r="A159" t="s">
        <v>725</v>
      </c>
      <c r="B159" t="s">
        <v>1042</v>
      </c>
      <c r="C159" s="8" t="s">
        <v>156</v>
      </c>
      <c r="D159">
        <v>2</v>
      </c>
      <c r="E159">
        <v>0.76</v>
      </c>
      <c r="F159" t="s">
        <v>782</v>
      </c>
      <c r="G159" s="16">
        <v>0</v>
      </c>
      <c r="H159" s="16">
        <v>3</v>
      </c>
      <c r="I159" s="16">
        <v>1</v>
      </c>
      <c r="J159" s="16">
        <v>0</v>
      </c>
      <c r="K159" s="16">
        <v>0</v>
      </c>
      <c r="L159" s="16">
        <v>1</v>
      </c>
      <c r="M159" s="16">
        <v>1</v>
      </c>
      <c r="N159" s="16">
        <v>2</v>
      </c>
      <c r="O159" s="16">
        <v>1</v>
      </c>
      <c r="P159" t="s">
        <v>802</v>
      </c>
      <c r="Q159" t="s">
        <v>730</v>
      </c>
      <c r="AA159" s="8"/>
      <c r="AB159" s="8"/>
      <c r="AC159" s="8"/>
      <c r="AE159" s="8"/>
      <c r="AF159" s="8"/>
    </row>
    <row r="160" spans="1:32" x14ac:dyDescent="0.15">
      <c r="A160" t="s">
        <v>1697</v>
      </c>
      <c r="B160" t="s">
        <v>1698</v>
      </c>
      <c r="C160" s="8" t="s">
        <v>156</v>
      </c>
      <c r="D160">
        <v>1.55</v>
      </c>
      <c r="E160">
        <v>0.9</v>
      </c>
      <c r="F160" t="s">
        <v>1896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</v>
      </c>
      <c r="N160" s="16">
        <v>2</v>
      </c>
      <c r="O160" s="16">
        <v>2</v>
      </c>
      <c r="P160" t="s">
        <v>1393</v>
      </c>
      <c r="Q160" t="s">
        <v>1313</v>
      </c>
      <c r="AA160" s="8"/>
      <c r="AB160" s="8"/>
      <c r="AC160" s="8"/>
      <c r="AE160" s="8"/>
      <c r="AF160" s="8"/>
    </row>
    <row r="161" spans="1:32" x14ac:dyDescent="0.15">
      <c r="A161" t="s">
        <v>1804</v>
      </c>
      <c r="B161" t="s">
        <v>1698</v>
      </c>
      <c r="C161" s="8" t="s">
        <v>156</v>
      </c>
      <c r="D161">
        <v>4.03</v>
      </c>
      <c r="E161">
        <v>1.39</v>
      </c>
      <c r="F161" t="s">
        <v>1898</v>
      </c>
      <c r="G161" s="16">
        <v>0</v>
      </c>
      <c r="H161" s="16">
        <v>1</v>
      </c>
      <c r="I161" s="16">
        <v>1</v>
      </c>
      <c r="J161" s="16">
        <v>0</v>
      </c>
      <c r="K161" s="16">
        <v>0</v>
      </c>
      <c r="L161" s="16">
        <v>0</v>
      </c>
      <c r="M161" s="16">
        <v>1</v>
      </c>
      <c r="N161" s="16">
        <v>2</v>
      </c>
      <c r="O161" s="16">
        <v>2</v>
      </c>
      <c r="P161" t="s">
        <v>1393</v>
      </c>
      <c r="Q161" t="s">
        <v>1313</v>
      </c>
      <c r="AA161" s="8"/>
      <c r="AB161" s="8"/>
      <c r="AC161" s="8"/>
      <c r="AE161" s="8"/>
      <c r="AF161" s="8"/>
    </row>
    <row r="162" spans="1:32" x14ac:dyDescent="0.15">
      <c r="A162" t="s">
        <v>1784</v>
      </c>
      <c r="B162" t="s">
        <v>1785</v>
      </c>
      <c r="C162" s="8" t="s">
        <v>156</v>
      </c>
      <c r="D162">
        <v>4.3099999999999996</v>
      </c>
      <c r="E162">
        <v>1.61</v>
      </c>
      <c r="F162" t="s">
        <v>1739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2</v>
      </c>
      <c r="O162" s="16">
        <v>2</v>
      </c>
      <c r="P162" t="s">
        <v>1393</v>
      </c>
      <c r="Q162" t="s">
        <v>1394</v>
      </c>
      <c r="R162" t="s">
        <v>1747</v>
      </c>
      <c r="AA162" s="8"/>
      <c r="AB162" s="8"/>
      <c r="AC162" s="8"/>
      <c r="AE162" s="8"/>
      <c r="AF162" s="8"/>
    </row>
    <row r="163" spans="1:32" x14ac:dyDescent="0.15">
      <c r="A163" t="s">
        <v>560</v>
      </c>
      <c r="B163" t="s">
        <v>561</v>
      </c>
      <c r="C163" s="8" t="s">
        <v>156</v>
      </c>
      <c r="D163">
        <f>0.42*10.7</f>
        <v>4.4939999999999998</v>
      </c>
      <c r="E163">
        <f>0.42*8.27</f>
        <v>3.4733999999999998</v>
      </c>
      <c r="F163" t="s">
        <v>562</v>
      </c>
      <c r="G163" s="16">
        <v>0</v>
      </c>
      <c r="H163" s="16">
        <v>3</v>
      </c>
      <c r="I163" s="16">
        <v>4</v>
      </c>
      <c r="J163" s="16">
        <v>0</v>
      </c>
      <c r="K163" s="16">
        <v>0</v>
      </c>
      <c r="L163" s="16">
        <v>0</v>
      </c>
      <c r="M163" s="16">
        <v>0</v>
      </c>
      <c r="N163" s="16">
        <v>2</v>
      </c>
      <c r="O163" s="16">
        <v>2</v>
      </c>
      <c r="P163" t="s">
        <v>798</v>
      </c>
      <c r="Q163" t="s">
        <v>563</v>
      </c>
      <c r="R163" t="s">
        <v>2339</v>
      </c>
      <c r="AA163" s="8"/>
      <c r="AB163" s="8"/>
      <c r="AC163" s="8"/>
      <c r="AE163" s="8"/>
      <c r="AF163" s="8"/>
    </row>
    <row r="164" spans="1:32" x14ac:dyDescent="0.15">
      <c r="A164" t="s">
        <v>686</v>
      </c>
      <c r="B164" t="s">
        <v>561</v>
      </c>
      <c r="C164" s="8" t="s">
        <v>156</v>
      </c>
      <c r="D164">
        <f>0.42*3.59</f>
        <v>1.5077999999999998</v>
      </c>
      <c r="E164">
        <f>0.42*1.84</f>
        <v>0.77280000000000004</v>
      </c>
      <c r="F164" t="s">
        <v>685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1</v>
      </c>
      <c r="M164" s="16">
        <v>1</v>
      </c>
      <c r="N164" s="16">
        <v>2</v>
      </c>
      <c r="O164" s="16">
        <v>0</v>
      </c>
      <c r="P164" t="s">
        <v>798</v>
      </c>
      <c r="Q164" t="s">
        <v>687</v>
      </c>
      <c r="R164" t="s">
        <v>1976</v>
      </c>
      <c r="AA164" s="8"/>
      <c r="AB164" s="8"/>
      <c r="AC164" s="8"/>
      <c r="AE164" s="8"/>
      <c r="AF164" s="8"/>
    </row>
    <row r="165" spans="1:32" x14ac:dyDescent="0.15">
      <c r="A165" t="s">
        <v>682</v>
      </c>
      <c r="B165" t="s">
        <v>561</v>
      </c>
      <c r="C165" s="8" t="s">
        <v>156</v>
      </c>
      <c r="D165">
        <v>2.63</v>
      </c>
      <c r="E165">
        <v>1.05</v>
      </c>
      <c r="F165" t="s">
        <v>683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1</v>
      </c>
      <c r="O165" s="16">
        <v>2</v>
      </c>
      <c r="P165" t="s">
        <v>798</v>
      </c>
      <c r="Q165" t="s">
        <v>563</v>
      </c>
      <c r="R165" t="s">
        <v>2234</v>
      </c>
      <c r="AA165" s="8"/>
      <c r="AB165" s="8"/>
      <c r="AC165" s="8"/>
      <c r="AE165" s="8"/>
      <c r="AF165" s="8"/>
    </row>
    <row r="166" spans="1:32" x14ac:dyDescent="0.15">
      <c r="A166" t="s">
        <v>631</v>
      </c>
      <c r="B166" t="s">
        <v>706</v>
      </c>
      <c r="C166" s="8" t="s">
        <v>156</v>
      </c>
      <c r="D166">
        <f>0.42*9.49</f>
        <v>3.9857999999999998</v>
      </c>
      <c r="E166">
        <f>0.42*1.74</f>
        <v>0.73080000000000001</v>
      </c>
      <c r="F166" t="s">
        <v>460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</v>
      </c>
      <c r="M166" s="16">
        <v>1</v>
      </c>
      <c r="N166" s="16">
        <v>2</v>
      </c>
      <c r="O166" s="16">
        <v>2</v>
      </c>
      <c r="P166" t="s">
        <v>798</v>
      </c>
      <c r="Q166" t="s">
        <v>637</v>
      </c>
      <c r="R166" t="s">
        <v>2317</v>
      </c>
      <c r="AA166" s="8"/>
      <c r="AB166" s="8"/>
      <c r="AC166" s="8"/>
      <c r="AE166" s="8"/>
      <c r="AF166" s="8"/>
    </row>
    <row r="167" spans="1:32" x14ac:dyDescent="0.15">
      <c r="A167" t="s">
        <v>311</v>
      </c>
      <c r="B167" t="s">
        <v>706</v>
      </c>
      <c r="C167" s="8" t="s">
        <v>156</v>
      </c>
      <c r="D167">
        <v>3.07</v>
      </c>
      <c r="E167">
        <v>1.27</v>
      </c>
      <c r="F167" t="s">
        <v>312</v>
      </c>
      <c r="G167" s="16">
        <v>0</v>
      </c>
      <c r="H167" s="16">
        <v>1</v>
      </c>
      <c r="I167" s="16">
        <v>2</v>
      </c>
      <c r="J167" s="16">
        <v>0</v>
      </c>
      <c r="K167" s="16">
        <v>0</v>
      </c>
      <c r="L167" s="16">
        <v>1</v>
      </c>
      <c r="M167" s="16">
        <v>1</v>
      </c>
      <c r="N167" s="16">
        <v>2</v>
      </c>
      <c r="O167" s="16">
        <v>1</v>
      </c>
      <c r="P167" t="s">
        <v>740</v>
      </c>
      <c r="Q167" t="s">
        <v>637</v>
      </c>
      <c r="AA167" s="8"/>
      <c r="AB167" s="8"/>
      <c r="AC167" s="8"/>
      <c r="AE167" s="8"/>
      <c r="AF167" s="8"/>
    </row>
    <row r="168" spans="1:32" x14ac:dyDescent="0.15">
      <c r="A168" t="s">
        <v>486</v>
      </c>
      <c r="B168" t="s">
        <v>706</v>
      </c>
      <c r="C168" s="8" t="s">
        <v>156</v>
      </c>
      <c r="D168">
        <v>1.1200000000000001</v>
      </c>
      <c r="E168">
        <v>0.41</v>
      </c>
      <c r="F168" t="s">
        <v>303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1</v>
      </c>
      <c r="M168" s="16">
        <v>1</v>
      </c>
      <c r="N168" s="16">
        <v>2</v>
      </c>
      <c r="O168" s="16">
        <v>1</v>
      </c>
      <c r="P168" t="s">
        <v>798</v>
      </c>
      <c r="Q168" t="s">
        <v>637</v>
      </c>
      <c r="R168" t="s">
        <v>2378</v>
      </c>
      <c r="AA168" s="8"/>
      <c r="AB168" s="8"/>
      <c r="AC168" s="8"/>
      <c r="AE168" s="8"/>
      <c r="AF168" s="8"/>
    </row>
    <row r="169" spans="1:32" x14ac:dyDescent="0.15">
      <c r="A169" t="s">
        <v>1116</v>
      </c>
      <c r="B169" t="s">
        <v>1117</v>
      </c>
      <c r="C169" s="8" t="s">
        <v>158</v>
      </c>
      <c r="D169">
        <v>3.41</v>
      </c>
      <c r="E169">
        <v>0.88</v>
      </c>
      <c r="F169" t="s">
        <v>2196</v>
      </c>
      <c r="G169" s="16">
        <v>0</v>
      </c>
      <c r="H169" s="16">
        <v>0</v>
      </c>
      <c r="I169" s="16">
        <v>0</v>
      </c>
      <c r="J169" s="16">
        <v>2</v>
      </c>
      <c r="K169" s="16">
        <v>2</v>
      </c>
      <c r="L169" s="16">
        <v>1</v>
      </c>
      <c r="M169" s="16">
        <v>2</v>
      </c>
      <c r="N169" s="16">
        <v>2</v>
      </c>
      <c r="O169" s="16">
        <v>2</v>
      </c>
      <c r="P169" t="s">
        <v>1081</v>
      </c>
      <c r="Q169" t="s">
        <v>1082</v>
      </c>
      <c r="AA169" s="8"/>
      <c r="AB169" s="8"/>
      <c r="AC169" s="8"/>
      <c r="AE169" s="8"/>
      <c r="AF169" s="8"/>
    </row>
    <row r="170" spans="1:32" x14ac:dyDescent="0.15">
      <c r="A170" t="s">
        <v>485</v>
      </c>
      <c r="B170" t="s">
        <v>2379</v>
      </c>
      <c r="C170" s="8" t="s">
        <v>158</v>
      </c>
      <c r="D170">
        <v>1.6</v>
      </c>
      <c r="E170">
        <v>0.53</v>
      </c>
      <c r="F170" t="s">
        <v>305</v>
      </c>
      <c r="G170" s="16">
        <v>0</v>
      </c>
      <c r="H170" s="16">
        <v>0</v>
      </c>
      <c r="I170" s="16">
        <v>0</v>
      </c>
      <c r="J170" s="16">
        <v>2</v>
      </c>
      <c r="K170" s="16">
        <v>1</v>
      </c>
      <c r="L170" s="16">
        <v>0</v>
      </c>
      <c r="M170" s="16">
        <v>1</v>
      </c>
      <c r="N170" s="16">
        <v>1</v>
      </c>
      <c r="O170" s="16">
        <v>1</v>
      </c>
      <c r="P170" t="s">
        <v>603</v>
      </c>
      <c r="Q170" t="s">
        <v>637</v>
      </c>
      <c r="AA170" s="8"/>
      <c r="AB170" s="8"/>
      <c r="AC170" s="8"/>
      <c r="AE170" s="8"/>
      <c r="AF170" s="8"/>
    </row>
    <row r="171" spans="1:32" x14ac:dyDescent="0.15">
      <c r="A171" t="s">
        <v>555</v>
      </c>
      <c r="B171" t="s">
        <v>556</v>
      </c>
      <c r="C171" s="8" t="s">
        <v>161</v>
      </c>
      <c r="D171">
        <f>0.42*15.52</f>
        <v>6.5183999999999997</v>
      </c>
      <c r="E171">
        <f>0.42*6.99</f>
        <v>2.9358</v>
      </c>
      <c r="F171" t="s">
        <v>557</v>
      </c>
      <c r="G171" s="16">
        <v>0</v>
      </c>
      <c r="H171" s="16">
        <v>2</v>
      </c>
      <c r="I171" s="16">
        <v>2</v>
      </c>
      <c r="J171" s="16">
        <v>0</v>
      </c>
      <c r="K171" s="16">
        <v>0</v>
      </c>
      <c r="L171" s="16">
        <v>1</v>
      </c>
      <c r="M171" s="16">
        <v>1</v>
      </c>
      <c r="N171" s="16">
        <v>2</v>
      </c>
      <c r="O171" s="16">
        <v>1</v>
      </c>
      <c r="P171" t="s">
        <v>558</v>
      </c>
      <c r="Q171" t="s">
        <v>559</v>
      </c>
      <c r="R171" t="s">
        <v>2338</v>
      </c>
      <c r="AA171" s="8"/>
      <c r="AB171" s="8"/>
      <c r="AC171" s="8"/>
      <c r="AE171" s="8"/>
      <c r="AF171" s="8"/>
    </row>
    <row r="172" spans="1:32" x14ac:dyDescent="0.15">
      <c r="A172" t="s">
        <v>375</v>
      </c>
      <c r="B172" t="s">
        <v>376</v>
      </c>
      <c r="C172" s="8" t="s">
        <v>161</v>
      </c>
      <c r="D172">
        <v>1.33</v>
      </c>
      <c r="E172">
        <v>0.43</v>
      </c>
      <c r="F172" t="s">
        <v>377</v>
      </c>
      <c r="G172" s="16">
        <v>0</v>
      </c>
      <c r="H172" s="16">
        <v>4</v>
      </c>
      <c r="I172" s="16">
        <v>2</v>
      </c>
      <c r="J172" s="16">
        <v>0</v>
      </c>
      <c r="K172" s="16">
        <v>0</v>
      </c>
      <c r="L172" s="16">
        <v>1</v>
      </c>
      <c r="M172" s="16">
        <v>1</v>
      </c>
      <c r="N172" s="16">
        <v>2</v>
      </c>
      <c r="O172" s="16">
        <v>2</v>
      </c>
      <c r="P172" t="s">
        <v>694</v>
      </c>
      <c r="Q172" t="s">
        <v>637</v>
      </c>
      <c r="R172" t="s">
        <v>2393</v>
      </c>
      <c r="AA172" s="8"/>
      <c r="AB172" s="8"/>
      <c r="AC172" s="8"/>
      <c r="AE172" s="8"/>
      <c r="AF172" s="8"/>
    </row>
    <row r="173" spans="1:32" x14ac:dyDescent="0.15">
      <c r="A173" t="s">
        <v>299</v>
      </c>
      <c r="B173" t="s">
        <v>376</v>
      </c>
      <c r="C173" s="8" t="s">
        <v>161</v>
      </c>
      <c r="D173">
        <f>0.42*8.8</f>
        <v>3.6960000000000002</v>
      </c>
      <c r="E173">
        <f>0.42*3.16</f>
        <v>1.3271999999999999</v>
      </c>
      <c r="F173" t="s">
        <v>453</v>
      </c>
      <c r="G173" s="16">
        <v>0</v>
      </c>
      <c r="H173" s="16">
        <v>5</v>
      </c>
      <c r="I173" s="16">
        <v>2</v>
      </c>
      <c r="J173" s="16">
        <v>1</v>
      </c>
      <c r="K173" s="16">
        <v>2</v>
      </c>
      <c r="L173" s="16">
        <v>1</v>
      </c>
      <c r="M173" s="16">
        <v>1</v>
      </c>
      <c r="N173" s="16">
        <v>3</v>
      </c>
      <c r="O173" s="16">
        <v>2</v>
      </c>
      <c r="P173" t="s">
        <v>740</v>
      </c>
      <c r="Q173" t="s">
        <v>637</v>
      </c>
      <c r="AA173" s="8"/>
      <c r="AB173" s="8"/>
      <c r="AC173" s="8"/>
      <c r="AE173" s="8"/>
      <c r="AF173" s="8"/>
    </row>
    <row r="174" spans="1:32" x14ac:dyDescent="0.15">
      <c r="A174" t="s">
        <v>1005</v>
      </c>
      <c r="B174" t="s">
        <v>1012</v>
      </c>
      <c r="C174" s="8" t="s">
        <v>161</v>
      </c>
      <c r="D174">
        <v>4.6399999999999997</v>
      </c>
      <c r="E174">
        <v>2.65</v>
      </c>
      <c r="F174" t="s">
        <v>1873</v>
      </c>
      <c r="G174" s="16">
        <v>3</v>
      </c>
      <c r="H174" s="16">
        <v>5</v>
      </c>
      <c r="I174" s="16">
        <v>2</v>
      </c>
      <c r="J174" s="16">
        <v>0</v>
      </c>
      <c r="K174" s="16">
        <v>0</v>
      </c>
      <c r="L174" s="16">
        <v>1</v>
      </c>
      <c r="M174" s="16">
        <v>1</v>
      </c>
      <c r="N174" s="16">
        <v>2</v>
      </c>
      <c r="O174" s="16">
        <v>2</v>
      </c>
      <c r="P174" t="s">
        <v>1013</v>
      </c>
      <c r="Q174" t="s">
        <v>1284</v>
      </c>
      <c r="R174" t="s">
        <v>2001</v>
      </c>
      <c r="AA174" s="8"/>
      <c r="AB174" s="8"/>
      <c r="AC174" s="8"/>
      <c r="AE174" s="8"/>
      <c r="AF174" s="8"/>
    </row>
    <row r="175" spans="1:32" x14ac:dyDescent="0.15">
      <c r="A175" t="s">
        <v>1328</v>
      </c>
      <c r="B175" t="s">
        <v>1428</v>
      </c>
      <c r="C175" s="8" t="s">
        <v>161</v>
      </c>
      <c r="D175">
        <v>3.88</v>
      </c>
      <c r="E175">
        <v>1.21</v>
      </c>
      <c r="F175" t="s">
        <v>1875</v>
      </c>
      <c r="G175" s="16">
        <v>0</v>
      </c>
      <c r="H175" s="16">
        <v>5</v>
      </c>
      <c r="I175" s="16">
        <v>2</v>
      </c>
      <c r="J175" s="16">
        <v>0</v>
      </c>
      <c r="K175" s="16">
        <v>0</v>
      </c>
      <c r="L175" s="16">
        <v>1</v>
      </c>
      <c r="M175" s="16">
        <v>1</v>
      </c>
      <c r="N175" s="16">
        <v>2</v>
      </c>
      <c r="O175" s="16">
        <v>1</v>
      </c>
      <c r="P175" t="s">
        <v>1552</v>
      </c>
      <c r="Q175" t="s">
        <v>1553</v>
      </c>
      <c r="AA175" s="8"/>
      <c r="AB175" s="8"/>
      <c r="AC175" s="8"/>
      <c r="AE175" s="8"/>
      <c r="AF175" s="8"/>
    </row>
    <row r="176" spans="1:32" x14ac:dyDescent="0.15">
      <c r="A176" t="s">
        <v>1097</v>
      </c>
      <c r="B176" t="s">
        <v>1181</v>
      </c>
      <c r="C176" s="8" t="s">
        <v>161</v>
      </c>
      <c r="D176">
        <v>4.4000000000000004</v>
      </c>
      <c r="E176">
        <v>1.57</v>
      </c>
      <c r="F176" t="s">
        <v>1654</v>
      </c>
      <c r="G176" s="16">
        <v>0</v>
      </c>
      <c r="H176" s="16">
        <v>4</v>
      </c>
      <c r="I176" s="16">
        <v>2</v>
      </c>
      <c r="J176" s="16">
        <v>0</v>
      </c>
      <c r="K176" s="16">
        <v>0</v>
      </c>
      <c r="L176" s="16">
        <v>1</v>
      </c>
      <c r="M176" s="16">
        <v>1</v>
      </c>
      <c r="N176" s="16">
        <v>2</v>
      </c>
      <c r="O176" s="16">
        <v>1</v>
      </c>
      <c r="P176" t="s">
        <v>1113</v>
      </c>
      <c r="Q176" t="s">
        <v>1082</v>
      </c>
      <c r="AA176" s="8"/>
      <c r="AB176" s="8"/>
      <c r="AC176" s="8"/>
      <c r="AE176" s="8"/>
      <c r="AF176" s="8"/>
    </row>
    <row r="177" spans="1:32" x14ac:dyDescent="0.15">
      <c r="A177" t="s">
        <v>1191</v>
      </c>
      <c r="B177" t="s">
        <v>1181</v>
      </c>
      <c r="C177" s="8" t="s">
        <v>161</v>
      </c>
      <c r="D177">
        <v>4.63</v>
      </c>
      <c r="E177">
        <v>2.2799999999999998</v>
      </c>
      <c r="F177" t="s">
        <v>1656</v>
      </c>
      <c r="G177" s="16">
        <v>0</v>
      </c>
      <c r="H177" s="16">
        <v>4</v>
      </c>
      <c r="I177" s="16">
        <v>2</v>
      </c>
      <c r="J177" s="16">
        <v>0</v>
      </c>
      <c r="K177" s="16">
        <v>0</v>
      </c>
      <c r="L177" s="16">
        <v>1</v>
      </c>
      <c r="M177" s="16">
        <v>1</v>
      </c>
      <c r="N177" s="16">
        <v>2</v>
      </c>
      <c r="O177" s="16">
        <v>2</v>
      </c>
      <c r="P177" t="s">
        <v>1111</v>
      </c>
      <c r="Q177" t="s">
        <v>1075</v>
      </c>
      <c r="AA177" s="8"/>
      <c r="AB177" s="8"/>
      <c r="AC177" s="8"/>
      <c r="AE177" s="8"/>
      <c r="AF177" s="8"/>
    </row>
    <row r="178" spans="1:32" x14ac:dyDescent="0.15">
      <c r="A178" t="s">
        <v>1657</v>
      </c>
      <c r="B178" t="s">
        <v>1181</v>
      </c>
      <c r="C178" s="8" t="s">
        <v>161</v>
      </c>
      <c r="D178">
        <v>4.71</v>
      </c>
      <c r="E178">
        <v>1.93</v>
      </c>
      <c r="F178" t="s">
        <v>1767</v>
      </c>
      <c r="G178" s="16">
        <v>0</v>
      </c>
      <c r="H178" s="16">
        <v>6</v>
      </c>
      <c r="I178" s="16">
        <v>1</v>
      </c>
      <c r="J178" s="16">
        <v>2</v>
      </c>
      <c r="K178" s="16">
        <v>1</v>
      </c>
      <c r="L178" s="16">
        <v>2</v>
      </c>
      <c r="M178" s="16">
        <v>1</v>
      </c>
      <c r="N178" s="16">
        <v>2</v>
      </c>
      <c r="O178" s="16">
        <v>2</v>
      </c>
      <c r="P178" t="s">
        <v>1081</v>
      </c>
      <c r="Q178" t="s">
        <v>1082</v>
      </c>
      <c r="R178" t="s">
        <v>1860</v>
      </c>
      <c r="AA178" s="8"/>
      <c r="AB178" s="8"/>
      <c r="AC178" s="8"/>
      <c r="AE178" s="8"/>
      <c r="AF178" s="8"/>
    </row>
    <row r="179" spans="1:32" x14ac:dyDescent="0.15">
      <c r="A179" t="s">
        <v>933</v>
      </c>
      <c r="B179" t="s">
        <v>1181</v>
      </c>
      <c r="C179" s="8" t="s">
        <v>161</v>
      </c>
      <c r="D179">
        <v>11.62</v>
      </c>
      <c r="E179">
        <v>4.5599999999999996</v>
      </c>
      <c r="F179" t="s">
        <v>1662</v>
      </c>
      <c r="G179" s="16">
        <v>0</v>
      </c>
      <c r="H179" s="16">
        <v>2</v>
      </c>
      <c r="I179" s="16">
        <v>2</v>
      </c>
      <c r="J179" s="16">
        <v>0</v>
      </c>
      <c r="K179" s="16">
        <v>0</v>
      </c>
      <c r="L179" s="16">
        <v>1</v>
      </c>
      <c r="M179" s="16">
        <v>1</v>
      </c>
      <c r="N179" s="16">
        <v>2</v>
      </c>
      <c r="O179" s="16">
        <v>0</v>
      </c>
      <c r="P179" t="s">
        <v>934</v>
      </c>
      <c r="Q179" t="s">
        <v>935</v>
      </c>
      <c r="AA179" s="8"/>
      <c r="AB179" s="8"/>
      <c r="AC179" s="8"/>
      <c r="AE179" s="8"/>
      <c r="AF179" s="8"/>
    </row>
    <row r="180" spans="1:32" x14ac:dyDescent="0.15">
      <c r="A180" t="s">
        <v>1539</v>
      </c>
      <c r="B180" t="s">
        <v>1540</v>
      </c>
      <c r="C180" s="8" t="s">
        <v>161</v>
      </c>
      <c r="D180">
        <v>4.01</v>
      </c>
      <c r="E180">
        <v>1.74</v>
      </c>
      <c r="F180" t="s">
        <v>1665</v>
      </c>
      <c r="G180" s="16">
        <v>0</v>
      </c>
      <c r="H180" s="16">
        <v>3</v>
      </c>
      <c r="I180" s="16">
        <v>2</v>
      </c>
      <c r="J180" s="16">
        <v>0</v>
      </c>
      <c r="K180" s="16">
        <v>0</v>
      </c>
      <c r="L180" s="16">
        <v>0</v>
      </c>
      <c r="M180" s="16">
        <v>0</v>
      </c>
      <c r="N180" s="16">
        <v>2</v>
      </c>
      <c r="O180" s="16">
        <v>2</v>
      </c>
      <c r="P180" t="s">
        <v>1409</v>
      </c>
      <c r="Q180" t="s">
        <v>1541</v>
      </c>
      <c r="AA180" s="8"/>
      <c r="AB180" s="8"/>
      <c r="AC180" s="8"/>
      <c r="AE180" s="8"/>
      <c r="AF180" s="8"/>
    </row>
    <row r="181" spans="1:32" x14ac:dyDescent="0.15">
      <c r="A181" t="s">
        <v>1527</v>
      </c>
      <c r="B181" t="s">
        <v>1540</v>
      </c>
      <c r="C181" s="8" t="s">
        <v>161</v>
      </c>
      <c r="D181">
        <v>2.42</v>
      </c>
      <c r="E181">
        <v>1.4</v>
      </c>
      <c r="F181" t="s">
        <v>1957</v>
      </c>
      <c r="G181" s="16">
        <v>0</v>
      </c>
      <c r="H181" s="16">
        <v>4</v>
      </c>
      <c r="I181" s="16">
        <v>2</v>
      </c>
      <c r="J181" s="16">
        <v>0</v>
      </c>
      <c r="K181" s="16">
        <v>0</v>
      </c>
      <c r="L181" s="16">
        <v>0</v>
      </c>
      <c r="M181" s="16">
        <v>1</v>
      </c>
      <c r="N181" s="16">
        <v>2</v>
      </c>
      <c r="O181" s="16">
        <v>2</v>
      </c>
      <c r="P181" t="s">
        <v>1683</v>
      </c>
      <c r="Q181" t="s">
        <v>1528</v>
      </c>
      <c r="AA181" s="8"/>
      <c r="AB181" s="8"/>
      <c r="AC181" s="8"/>
      <c r="AE181" s="8"/>
      <c r="AF181" s="8"/>
    </row>
    <row r="182" spans="1:32" x14ac:dyDescent="0.15">
      <c r="A182" t="s">
        <v>1484</v>
      </c>
      <c r="B182" t="s">
        <v>1540</v>
      </c>
      <c r="C182" s="8" t="s">
        <v>161</v>
      </c>
      <c r="D182">
        <v>2.19</v>
      </c>
      <c r="E182">
        <v>1</v>
      </c>
      <c r="F182" t="s">
        <v>1889</v>
      </c>
      <c r="G182" s="16">
        <v>0</v>
      </c>
      <c r="H182" s="16">
        <v>4</v>
      </c>
      <c r="I182" s="16">
        <v>2</v>
      </c>
      <c r="J182" s="16">
        <v>0</v>
      </c>
      <c r="K182" s="16">
        <v>0</v>
      </c>
      <c r="L182" s="16">
        <v>1</v>
      </c>
      <c r="M182" s="16">
        <v>1</v>
      </c>
      <c r="N182" s="16">
        <v>2</v>
      </c>
      <c r="O182" s="16">
        <v>2</v>
      </c>
      <c r="P182" t="s">
        <v>1649</v>
      </c>
      <c r="Q182" t="s">
        <v>1528</v>
      </c>
      <c r="AA182" s="8"/>
      <c r="AB182" s="8"/>
      <c r="AC182" s="8"/>
      <c r="AE182" s="8"/>
      <c r="AF182" s="8"/>
    </row>
    <row r="183" spans="1:32" x14ac:dyDescent="0.15">
      <c r="A183" t="s">
        <v>1103</v>
      </c>
      <c r="B183" t="s">
        <v>1104</v>
      </c>
      <c r="C183" s="8" t="s">
        <v>161</v>
      </c>
      <c r="D183">
        <v>4.2</v>
      </c>
      <c r="E183">
        <v>2.09</v>
      </c>
      <c r="F183" t="s">
        <v>1841</v>
      </c>
      <c r="G183" s="16">
        <v>0</v>
      </c>
      <c r="H183" s="16">
        <v>4</v>
      </c>
      <c r="I183" s="16">
        <v>1</v>
      </c>
      <c r="J183" s="16">
        <v>0</v>
      </c>
      <c r="K183" s="16">
        <v>0</v>
      </c>
      <c r="L183" s="16">
        <v>1</v>
      </c>
      <c r="M183" s="16">
        <v>1</v>
      </c>
      <c r="N183" s="16">
        <v>2</v>
      </c>
      <c r="O183" s="16">
        <v>2</v>
      </c>
      <c r="P183" t="s">
        <v>885</v>
      </c>
      <c r="Q183" t="s">
        <v>733</v>
      </c>
      <c r="AA183" s="8"/>
      <c r="AB183" s="8"/>
      <c r="AC183" s="8"/>
      <c r="AE183" s="8"/>
      <c r="AF183" s="8"/>
    </row>
    <row r="184" spans="1:32" x14ac:dyDescent="0.15">
      <c r="A184" t="s">
        <v>1027</v>
      </c>
      <c r="B184" t="s">
        <v>1102</v>
      </c>
      <c r="C184" s="8" t="s">
        <v>161</v>
      </c>
      <c r="D184">
        <v>2.4900000000000002</v>
      </c>
      <c r="E184">
        <v>0.97</v>
      </c>
      <c r="F184" t="s">
        <v>829</v>
      </c>
      <c r="G184" s="16">
        <v>0</v>
      </c>
      <c r="H184" s="16">
        <v>1</v>
      </c>
      <c r="I184" s="16">
        <v>1</v>
      </c>
      <c r="J184" s="16">
        <v>0</v>
      </c>
      <c r="K184" s="16">
        <v>0</v>
      </c>
      <c r="L184" s="16">
        <v>1</v>
      </c>
      <c r="M184" s="16">
        <v>1</v>
      </c>
      <c r="N184" s="16">
        <v>2</v>
      </c>
      <c r="O184" s="16">
        <v>1</v>
      </c>
      <c r="P184" t="s">
        <v>885</v>
      </c>
      <c r="Q184" t="s">
        <v>733</v>
      </c>
      <c r="R184" t="s">
        <v>2065</v>
      </c>
      <c r="AA184" s="8"/>
      <c r="AB184" s="8"/>
      <c r="AC184" s="8"/>
      <c r="AE184" s="8"/>
      <c r="AF184" s="8"/>
    </row>
    <row r="185" spans="1:32" x14ac:dyDescent="0.15">
      <c r="A185" t="s">
        <v>1019</v>
      </c>
      <c r="B185" t="s">
        <v>1104</v>
      </c>
      <c r="C185" s="8" t="s">
        <v>161</v>
      </c>
      <c r="D185">
        <v>2.11</v>
      </c>
      <c r="E185">
        <v>1.17</v>
      </c>
      <c r="F185" t="s">
        <v>778</v>
      </c>
      <c r="G185" s="16">
        <v>0</v>
      </c>
      <c r="H185" s="16">
        <v>4</v>
      </c>
      <c r="I185" s="16">
        <v>2</v>
      </c>
      <c r="J185" s="16">
        <v>0</v>
      </c>
      <c r="K185" s="16">
        <v>0</v>
      </c>
      <c r="L185" s="16">
        <v>0</v>
      </c>
      <c r="M185" s="16">
        <v>1</v>
      </c>
      <c r="N185" s="16">
        <v>2</v>
      </c>
      <c r="O185" s="16">
        <v>1</v>
      </c>
      <c r="P185" t="s">
        <v>1134</v>
      </c>
      <c r="Q185" t="s">
        <v>730</v>
      </c>
      <c r="AA185" s="8"/>
      <c r="AB185" s="8"/>
      <c r="AC185" s="8"/>
      <c r="AE185" s="8"/>
      <c r="AF185" s="8"/>
    </row>
    <row r="186" spans="1:32" x14ac:dyDescent="0.15">
      <c r="A186" t="s">
        <v>2114</v>
      </c>
      <c r="B186" t="s">
        <v>1104</v>
      </c>
      <c r="C186" s="8" t="s">
        <v>161</v>
      </c>
      <c r="D186">
        <v>1.45</v>
      </c>
      <c r="E186">
        <v>0.62</v>
      </c>
      <c r="F186" t="s">
        <v>2034</v>
      </c>
      <c r="G186" s="16">
        <v>0</v>
      </c>
      <c r="H186" s="16">
        <v>4</v>
      </c>
      <c r="I186" s="16">
        <v>1</v>
      </c>
      <c r="J186" s="16">
        <v>0</v>
      </c>
      <c r="K186" s="16">
        <v>0</v>
      </c>
      <c r="L186" s="16">
        <v>1</v>
      </c>
      <c r="M186" s="16">
        <v>1</v>
      </c>
      <c r="N186" s="16">
        <v>2</v>
      </c>
      <c r="O186" s="16">
        <v>2</v>
      </c>
      <c r="P186" t="s">
        <v>885</v>
      </c>
      <c r="Q186" t="s">
        <v>730</v>
      </c>
      <c r="R186" t="s">
        <v>2300</v>
      </c>
      <c r="AA186" s="8"/>
      <c r="AB186" s="8"/>
      <c r="AC186" s="8"/>
      <c r="AE186" s="8"/>
      <c r="AF186" s="8"/>
    </row>
    <row r="187" spans="1:32" x14ac:dyDescent="0.15">
      <c r="A187" t="s">
        <v>941</v>
      </c>
      <c r="B187" t="s">
        <v>1102</v>
      </c>
      <c r="C187" s="8" t="s">
        <v>161</v>
      </c>
      <c r="D187">
        <v>5.69</v>
      </c>
      <c r="E187">
        <v>1.8</v>
      </c>
      <c r="F187" t="s">
        <v>2087</v>
      </c>
      <c r="G187" s="16">
        <v>0</v>
      </c>
      <c r="H187" s="16">
        <v>6</v>
      </c>
      <c r="I187" s="16">
        <v>2</v>
      </c>
      <c r="J187" s="16">
        <v>0</v>
      </c>
      <c r="K187" s="16">
        <v>0</v>
      </c>
      <c r="L187" s="16">
        <v>1</v>
      </c>
      <c r="M187" s="16">
        <v>1</v>
      </c>
      <c r="N187" s="16">
        <v>2</v>
      </c>
      <c r="O187" s="16">
        <v>2</v>
      </c>
      <c r="P187" t="s">
        <v>938</v>
      </c>
      <c r="Q187" t="s">
        <v>733</v>
      </c>
      <c r="R187" t="s">
        <v>2142</v>
      </c>
      <c r="AA187" s="8"/>
      <c r="AB187" s="8"/>
      <c r="AC187" s="8"/>
      <c r="AE187" s="8"/>
      <c r="AF187" s="8"/>
    </row>
    <row r="188" spans="1:32" x14ac:dyDescent="0.15">
      <c r="A188" t="s">
        <v>997</v>
      </c>
      <c r="B188" t="s">
        <v>1104</v>
      </c>
      <c r="C188" s="8" t="s">
        <v>161</v>
      </c>
      <c r="D188">
        <v>3.76</v>
      </c>
      <c r="E188">
        <v>1.89</v>
      </c>
      <c r="F188" t="s">
        <v>1946</v>
      </c>
      <c r="G188" s="16">
        <v>0</v>
      </c>
      <c r="H188" s="16">
        <v>4</v>
      </c>
      <c r="I188" s="16">
        <v>1</v>
      </c>
      <c r="J188" s="16">
        <v>0</v>
      </c>
      <c r="K188" s="16">
        <v>0</v>
      </c>
      <c r="L188" s="16">
        <v>0</v>
      </c>
      <c r="M188" s="16">
        <v>0</v>
      </c>
      <c r="N188" s="16">
        <v>3</v>
      </c>
      <c r="O188" s="16">
        <v>2</v>
      </c>
      <c r="P188" t="s">
        <v>885</v>
      </c>
      <c r="Q188" t="s">
        <v>1043</v>
      </c>
      <c r="AA188" s="8"/>
      <c r="AB188" s="8"/>
      <c r="AC188" s="8"/>
      <c r="AE188" s="8"/>
      <c r="AF188" s="8"/>
    </row>
    <row r="189" spans="1:32" x14ac:dyDescent="0.15">
      <c r="A189" t="s">
        <v>1564</v>
      </c>
      <c r="B189" t="s">
        <v>1392</v>
      </c>
      <c r="C189" s="8" t="s">
        <v>161</v>
      </c>
      <c r="D189">
        <v>2.95</v>
      </c>
      <c r="E189">
        <v>1.62</v>
      </c>
      <c r="F189" t="s">
        <v>1948</v>
      </c>
      <c r="G189" s="16">
        <v>0</v>
      </c>
      <c r="H189" s="16">
        <v>4</v>
      </c>
      <c r="I189" s="16">
        <v>2</v>
      </c>
      <c r="J189" s="16">
        <v>0</v>
      </c>
      <c r="K189" s="16">
        <v>0</v>
      </c>
      <c r="L189" s="16">
        <v>0</v>
      </c>
      <c r="M189" s="16">
        <v>0</v>
      </c>
      <c r="N189" s="16">
        <v>2</v>
      </c>
      <c r="O189" s="16">
        <v>2</v>
      </c>
      <c r="P189" t="s">
        <v>1393</v>
      </c>
      <c r="Q189" t="s">
        <v>1394</v>
      </c>
      <c r="AA189" s="8"/>
      <c r="AB189" s="8"/>
      <c r="AC189" s="8"/>
      <c r="AE189" s="8"/>
      <c r="AF189" s="8"/>
    </row>
    <row r="190" spans="1:32" x14ac:dyDescent="0.15">
      <c r="A190" t="s">
        <v>1395</v>
      </c>
      <c r="B190" t="s">
        <v>1392</v>
      </c>
      <c r="C190" s="8" t="s">
        <v>161</v>
      </c>
      <c r="D190">
        <v>3.88</v>
      </c>
      <c r="E190">
        <v>1.73</v>
      </c>
      <c r="F190" t="s">
        <v>1961</v>
      </c>
      <c r="G190" s="16">
        <v>0</v>
      </c>
      <c r="H190" s="16">
        <v>3</v>
      </c>
      <c r="I190" s="16">
        <v>2</v>
      </c>
      <c r="J190" s="16">
        <v>0</v>
      </c>
      <c r="K190" s="16">
        <v>0</v>
      </c>
      <c r="L190" s="16">
        <v>0</v>
      </c>
      <c r="M190" s="16">
        <v>0</v>
      </c>
      <c r="N190" s="16">
        <v>2</v>
      </c>
      <c r="O190" s="16">
        <v>1</v>
      </c>
      <c r="P190" t="s">
        <v>1396</v>
      </c>
      <c r="Q190" t="s">
        <v>1397</v>
      </c>
      <c r="AA190" s="8"/>
      <c r="AB190" s="8"/>
      <c r="AC190" s="8"/>
      <c r="AE190" s="8"/>
      <c r="AF190" s="8"/>
    </row>
    <row r="191" spans="1:32" x14ac:dyDescent="0.15">
      <c r="A191" t="s">
        <v>1717</v>
      </c>
      <c r="B191" t="s">
        <v>1716</v>
      </c>
      <c r="C191" s="8" t="s">
        <v>161</v>
      </c>
      <c r="D191">
        <v>3.88</v>
      </c>
      <c r="E191">
        <v>1.31</v>
      </c>
      <c r="F191" t="s">
        <v>2047</v>
      </c>
      <c r="G191" s="16">
        <v>0</v>
      </c>
      <c r="H191" s="16">
        <v>2</v>
      </c>
      <c r="I191" s="16">
        <v>1</v>
      </c>
      <c r="J191" s="16">
        <v>0</v>
      </c>
      <c r="K191" s="16">
        <v>0</v>
      </c>
      <c r="L191" s="16">
        <v>1</v>
      </c>
      <c r="M191" s="16">
        <v>1</v>
      </c>
      <c r="N191" s="16">
        <v>2</v>
      </c>
      <c r="O191" s="16">
        <v>1</v>
      </c>
      <c r="P191" t="s">
        <v>1396</v>
      </c>
      <c r="Q191" t="s">
        <v>1602</v>
      </c>
      <c r="AA191" s="8"/>
      <c r="AB191" s="8"/>
      <c r="AC191" s="8"/>
      <c r="AE191" s="8"/>
      <c r="AF191" s="8"/>
    </row>
    <row r="192" spans="1:32" x14ac:dyDescent="0.15">
      <c r="A192" t="s">
        <v>1776</v>
      </c>
      <c r="B192" t="s">
        <v>1777</v>
      </c>
      <c r="C192" s="8" t="s">
        <v>161</v>
      </c>
      <c r="D192">
        <v>4.17</v>
      </c>
      <c r="E192">
        <v>1.73</v>
      </c>
      <c r="F192" t="s">
        <v>1828</v>
      </c>
      <c r="G192" s="16">
        <v>0</v>
      </c>
      <c r="H192" s="16">
        <v>4</v>
      </c>
      <c r="I192" s="16">
        <v>2</v>
      </c>
      <c r="J192" s="16">
        <v>0</v>
      </c>
      <c r="K192" s="16">
        <v>0</v>
      </c>
      <c r="L192" s="16">
        <v>0</v>
      </c>
      <c r="M192" s="16">
        <v>1</v>
      </c>
      <c r="N192" s="16">
        <v>2</v>
      </c>
      <c r="O192" s="16">
        <v>1</v>
      </c>
      <c r="P192" t="s">
        <v>1778</v>
      </c>
      <c r="Q192" t="s">
        <v>1602</v>
      </c>
      <c r="R192" t="s">
        <v>2009</v>
      </c>
      <c r="AA192" s="8"/>
      <c r="AB192" s="8"/>
      <c r="AC192" s="8"/>
      <c r="AE192" s="8"/>
      <c r="AF192" s="8"/>
    </row>
    <row r="193" spans="1:32" x14ac:dyDescent="0.15">
      <c r="A193" t="s">
        <v>1936</v>
      </c>
      <c r="B193" t="s">
        <v>1938</v>
      </c>
      <c r="C193" s="8" t="s">
        <v>161</v>
      </c>
      <c r="D193">
        <v>5.88</v>
      </c>
      <c r="E193">
        <v>2.08</v>
      </c>
      <c r="F193" t="s">
        <v>2241</v>
      </c>
      <c r="G193" s="16">
        <v>0</v>
      </c>
      <c r="H193" s="16">
        <v>3</v>
      </c>
      <c r="I193" s="16">
        <v>1</v>
      </c>
      <c r="J193" s="16">
        <v>0</v>
      </c>
      <c r="K193" s="16">
        <v>0</v>
      </c>
      <c r="L193" s="16">
        <v>1</v>
      </c>
      <c r="M193" s="16">
        <v>1</v>
      </c>
      <c r="N193" s="16">
        <v>2</v>
      </c>
      <c r="O193" s="16">
        <v>2</v>
      </c>
      <c r="P193" t="s">
        <v>1402</v>
      </c>
      <c r="Q193" t="s">
        <v>1602</v>
      </c>
      <c r="AA193" s="8"/>
      <c r="AB193" s="8"/>
      <c r="AC193" s="8"/>
      <c r="AE193" s="8"/>
      <c r="AF193" s="8"/>
    </row>
    <row r="194" spans="1:32" x14ac:dyDescent="0.15">
      <c r="A194" t="s">
        <v>1870</v>
      </c>
      <c r="B194" t="s">
        <v>1917</v>
      </c>
      <c r="C194" s="8" t="s">
        <v>161</v>
      </c>
      <c r="D194">
        <v>2.14</v>
      </c>
      <c r="E194">
        <v>1.55</v>
      </c>
      <c r="F194" t="s">
        <v>2327</v>
      </c>
      <c r="G194" s="16">
        <v>0</v>
      </c>
      <c r="H194" s="16">
        <v>1</v>
      </c>
      <c r="I194" s="16">
        <v>1</v>
      </c>
      <c r="J194" s="16">
        <v>0</v>
      </c>
      <c r="K194" s="16">
        <v>0</v>
      </c>
      <c r="L194" s="16">
        <v>0</v>
      </c>
      <c r="M194" s="16">
        <v>0</v>
      </c>
      <c r="N194" s="16">
        <v>2</v>
      </c>
      <c r="O194" s="16">
        <v>2</v>
      </c>
      <c r="P194" t="s">
        <v>1571</v>
      </c>
      <c r="Q194" t="s">
        <v>1397</v>
      </c>
      <c r="AA194" s="8"/>
      <c r="AB194" s="8"/>
      <c r="AC194" s="8"/>
      <c r="AE194" s="8"/>
      <c r="AF194" s="8"/>
    </row>
    <row r="195" spans="1:32" x14ac:dyDescent="0.15">
      <c r="A195" t="s">
        <v>2059</v>
      </c>
      <c r="B195" t="s">
        <v>2060</v>
      </c>
      <c r="C195" s="8" t="s">
        <v>161</v>
      </c>
      <c r="D195">
        <v>2.4300000000000002</v>
      </c>
      <c r="E195">
        <v>1.1200000000000001</v>
      </c>
      <c r="F195" t="s">
        <v>2061</v>
      </c>
      <c r="G195" s="16">
        <v>0</v>
      </c>
      <c r="H195" s="16">
        <v>4</v>
      </c>
      <c r="I195" s="16">
        <v>1</v>
      </c>
      <c r="J195" s="16">
        <v>0</v>
      </c>
      <c r="K195" s="16">
        <v>0</v>
      </c>
      <c r="L195" s="16">
        <v>1</v>
      </c>
      <c r="M195" s="16">
        <v>1</v>
      </c>
      <c r="N195" s="16">
        <v>3</v>
      </c>
      <c r="O195" s="16">
        <v>2</v>
      </c>
      <c r="P195" t="s">
        <v>1908</v>
      </c>
      <c r="Q195" t="s">
        <v>2151</v>
      </c>
      <c r="R195" t="s">
        <v>2343</v>
      </c>
      <c r="AA195" s="8"/>
      <c r="AB195" s="8"/>
      <c r="AC195" s="8"/>
      <c r="AE195" s="8"/>
      <c r="AF195" s="8"/>
    </row>
    <row r="196" spans="1:32" x14ac:dyDescent="0.15">
      <c r="A196" t="s">
        <v>388</v>
      </c>
      <c r="B196" t="s">
        <v>566</v>
      </c>
      <c r="C196" s="8" t="s">
        <v>161</v>
      </c>
      <c r="D196">
        <v>3.81</v>
      </c>
      <c r="E196">
        <v>1.61</v>
      </c>
      <c r="F196" t="s">
        <v>567</v>
      </c>
      <c r="G196" s="16">
        <v>0</v>
      </c>
      <c r="H196" s="16">
        <v>4</v>
      </c>
      <c r="I196" s="16">
        <v>1</v>
      </c>
      <c r="J196" s="16">
        <v>0</v>
      </c>
      <c r="K196" s="16">
        <v>0</v>
      </c>
      <c r="L196" s="16">
        <v>1</v>
      </c>
      <c r="M196" s="16">
        <v>1</v>
      </c>
      <c r="N196" s="16">
        <v>2</v>
      </c>
      <c r="O196" s="16">
        <v>2</v>
      </c>
      <c r="P196" t="s">
        <v>603</v>
      </c>
      <c r="Q196" t="s">
        <v>559</v>
      </c>
      <c r="AA196" s="8"/>
      <c r="AB196" s="8"/>
      <c r="AC196" s="8"/>
      <c r="AE196" s="8"/>
      <c r="AF196" s="8"/>
    </row>
    <row r="197" spans="1:32" x14ac:dyDescent="0.15">
      <c r="A197" t="s">
        <v>571</v>
      </c>
      <c r="B197" t="s">
        <v>572</v>
      </c>
      <c r="C197" s="8" t="s">
        <v>161</v>
      </c>
      <c r="D197">
        <f>0.42*8.96</f>
        <v>3.7632000000000003</v>
      </c>
      <c r="E197">
        <f>0.42*4.43</f>
        <v>1.8605999999999998</v>
      </c>
      <c r="F197" t="s">
        <v>573</v>
      </c>
      <c r="G197" s="16">
        <v>0</v>
      </c>
      <c r="H197" s="16">
        <v>1</v>
      </c>
      <c r="I197" s="16">
        <v>1</v>
      </c>
      <c r="J197" s="16">
        <v>0</v>
      </c>
      <c r="K197" s="16">
        <v>0</v>
      </c>
      <c r="L197" s="16">
        <v>1</v>
      </c>
      <c r="M197" s="16">
        <v>1</v>
      </c>
      <c r="N197" s="16">
        <v>2</v>
      </c>
      <c r="O197" s="16">
        <v>1</v>
      </c>
      <c r="P197" t="s">
        <v>740</v>
      </c>
      <c r="Q197" t="s">
        <v>559</v>
      </c>
      <c r="AA197" s="8"/>
      <c r="AB197" s="8"/>
      <c r="AC197" s="8"/>
      <c r="AE197" s="8"/>
      <c r="AF197" s="8"/>
    </row>
    <row r="198" spans="1:32" x14ac:dyDescent="0.15">
      <c r="A198" t="s">
        <v>493</v>
      </c>
      <c r="B198" t="s">
        <v>566</v>
      </c>
      <c r="C198" s="8" t="s">
        <v>161</v>
      </c>
      <c r="D198">
        <v>3.32</v>
      </c>
      <c r="E198">
        <v>1.26</v>
      </c>
      <c r="F198" t="s">
        <v>306</v>
      </c>
      <c r="G198" s="16">
        <v>0</v>
      </c>
      <c r="H198" s="16">
        <v>4</v>
      </c>
      <c r="I198" s="16">
        <v>1</v>
      </c>
      <c r="J198" s="16">
        <v>0</v>
      </c>
      <c r="K198" s="16">
        <v>0</v>
      </c>
      <c r="L198" s="16">
        <v>0</v>
      </c>
      <c r="M198" s="16">
        <v>1</v>
      </c>
      <c r="N198" s="16">
        <v>2</v>
      </c>
      <c r="O198" s="16">
        <v>2</v>
      </c>
      <c r="P198" t="s">
        <v>854</v>
      </c>
      <c r="Q198" t="s">
        <v>637</v>
      </c>
      <c r="AA198" s="8"/>
      <c r="AB198" s="8"/>
      <c r="AC198" s="8"/>
      <c r="AE198" s="8"/>
      <c r="AF198" s="8"/>
    </row>
    <row r="199" spans="1:32" x14ac:dyDescent="0.15">
      <c r="A199" t="s">
        <v>1054</v>
      </c>
      <c r="B199" t="s">
        <v>1058</v>
      </c>
      <c r="C199" s="8" t="s">
        <v>158</v>
      </c>
      <c r="D199">
        <v>5.74</v>
      </c>
      <c r="E199">
        <v>0.86</v>
      </c>
      <c r="F199" t="s">
        <v>2169</v>
      </c>
      <c r="G199" s="16">
        <v>0</v>
      </c>
      <c r="H199" s="16">
        <v>0</v>
      </c>
      <c r="I199" s="16">
        <v>0</v>
      </c>
      <c r="J199" s="16">
        <v>1</v>
      </c>
      <c r="K199" s="16">
        <v>1</v>
      </c>
      <c r="L199" s="16">
        <v>2</v>
      </c>
      <c r="M199" s="16">
        <v>2</v>
      </c>
      <c r="N199" s="16">
        <v>2</v>
      </c>
      <c r="O199" s="16">
        <v>2</v>
      </c>
      <c r="P199" t="s">
        <v>1088</v>
      </c>
      <c r="Q199" t="s">
        <v>1089</v>
      </c>
      <c r="AA199" s="8"/>
      <c r="AB199" s="8"/>
      <c r="AC199" s="8"/>
      <c r="AE199" s="8"/>
      <c r="AF199" s="8"/>
    </row>
    <row r="200" spans="1:32" x14ac:dyDescent="0.15">
      <c r="A200" t="s">
        <v>883</v>
      </c>
      <c r="B200" t="s">
        <v>1058</v>
      </c>
      <c r="C200" s="8" t="s">
        <v>158</v>
      </c>
      <c r="D200">
        <v>4.74</v>
      </c>
      <c r="E200">
        <v>1.34</v>
      </c>
      <c r="F200" t="s">
        <v>2171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2</v>
      </c>
      <c r="N200" s="16">
        <v>2</v>
      </c>
      <c r="O200" s="16">
        <v>2</v>
      </c>
      <c r="P200" t="s">
        <v>884</v>
      </c>
      <c r="Q200" t="s">
        <v>985</v>
      </c>
      <c r="AA200" s="8"/>
      <c r="AB200" s="8"/>
      <c r="AC200" s="8"/>
      <c r="AE200" s="8"/>
      <c r="AF200" s="8"/>
    </row>
    <row r="201" spans="1:32" x14ac:dyDescent="0.15">
      <c r="A201" t="s">
        <v>1270</v>
      </c>
      <c r="B201" t="s">
        <v>1058</v>
      </c>
      <c r="C201" s="8" t="s">
        <v>158</v>
      </c>
      <c r="D201">
        <v>2.4900000000000002</v>
      </c>
      <c r="E201">
        <v>0.75</v>
      </c>
      <c r="F201" t="s">
        <v>2173</v>
      </c>
      <c r="G201" s="16">
        <v>3</v>
      </c>
      <c r="H201" s="16">
        <v>2</v>
      </c>
      <c r="I201" s="16">
        <v>1</v>
      </c>
      <c r="J201" s="16">
        <v>0</v>
      </c>
      <c r="K201" s="16">
        <v>0</v>
      </c>
      <c r="L201" s="16">
        <v>0</v>
      </c>
      <c r="M201" s="16">
        <v>2</v>
      </c>
      <c r="N201" s="16">
        <v>4</v>
      </c>
      <c r="O201" s="16">
        <v>2</v>
      </c>
      <c r="P201" t="s">
        <v>1271</v>
      </c>
      <c r="Q201" t="s">
        <v>1272</v>
      </c>
      <c r="AA201" s="8"/>
      <c r="AB201" s="8"/>
      <c r="AC201" s="8"/>
      <c r="AE201" s="8"/>
      <c r="AF201" s="8"/>
    </row>
    <row r="202" spans="1:32" x14ac:dyDescent="0.15">
      <c r="A202" t="s">
        <v>1857</v>
      </c>
      <c r="B202" t="s">
        <v>1315</v>
      </c>
      <c r="C202" s="8" t="s">
        <v>158</v>
      </c>
      <c r="D202">
        <v>2.2200000000000002</v>
      </c>
      <c r="E202">
        <v>0.79</v>
      </c>
      <c r="F202" t="s">
        <v>2176</v>
      </c>
      <c r="G202" s="16">
        <v>3</v>
      </c>
      <c r="H202" s="16">
        <v>3</v>
      </c>
      <c r="I202" s="16">
        <v>1</v>
      </c>
      <c r="J202" s="16">
        <v>2</v>
      </c>
      <c r="K202" s="16">
        <v>2</v>
      </c>
      <c r="L202" s="16">
        <v>1</v>
      </c>
      <c r="M202" s="16">
        <v>1</v>
      </c>
      <c r="N202" s="16">
        <v>2</v>
      </c>
      <c r="O202" s="16">
        <v>2</v>
      </c>
      <c r="P202" t="s">
        <v>1405</v>
      </c>
      <c r="Q202" t="s">
        <v>1406</v>
      </c>
      <c r="R202" t="s">
        <v>2330</v>
      </c>
      <c r="AA202" s="8"/>
      <c r="AB202" s="8"/>
      <c r="AC202" s="8"/>
      <c r="AE202" s="8"/>
      <c r="AF202" s="8"/>
    </row>
    <row r="203" spans="1:32" x14ac:dyDescent="0.15">
      <c r="A203" t="s">
        <v>2029</v>
      </c>
      <c r="B203" t="s">
        <v>1315</v>
      </c>
      <c r="C203" s="8" t="s">
        <v>158</v>
      </c>
      <c r="D203">
        <v>5.68</v>
      </c>
      <c r="E203">
        <v>1.84</v>
      </c>
      <c r="F203" t="s">
        <v>2309</v>
      </c>
      <c r="G203" s="16">
        <v>4</v>
      </c>
      <c r="H203" s="16">
        <v>4</v>
      </c>
      <c r="I203" s="16">
        <v>1</v>
      </c>
      <c r="J203" s="16">
        <v>0</v>
      </c>
      <c r="K203" s="16">
        <v>0</v>
      </c>
      <c r="L203" s="16">
        <v>1</v>
      </c>
      <c r="M203" s="16">
        <v>1</v>
      </c>
      <c r="N203" s="16">
        <v>2</v>
      </c>
      <c r="O203" s="16">
        <v>3</v>
      </c>
      <c r="P203" t="s">
        <v>1514</v>
      </c>
      <c r="Q203" t="s">
        <v>1515</v>
      </c>
      <c r="R203" t="s">
        <v>2310</v>
      </c>
      <c r="AA203" s="8"/>
      <c r="AB203" s="8"/>
      <c r="AC203" s="8"/>
      <c r="AE203" s="8"/>
      <c r="AF203" s="8"/>
    </row>
    <row r="204" spans="1:32" x14ac:dyDescent="0.15">
      <c r="A204" t="s">
        <v>2030</v>
      </c>
      <c r="B204" t="s">
        <v>1315</v>
      </c>
      <c r="C204" s="8" t="s">
        <v>158</v>
      </c>
      <c r="D204">
        <v>4.63</v>
      </c>
      <c r="E204">
        <v>1</v>
      </c>
      <c r="F204" t="s">
        <v>2309</v>
      </c>
      <c r="G204" s="16">
        <v>3</v>
      </c>
      <c r="H204" s="16">
        <v>0</v>
      </c>
      <c r="I204" s="16">
        <v>0</v>
      </c>
      <c r="J204" s="16">
        <v>0</v>
      </c>
      <c r="K204" s="16">
        <v>0</v>
      </c>
      <c r="L204" s="16">
        <v>1</v>
      </c>
      <c r="M204" s="16">
        <v>1</v>
      </c>
      <c r="N204" s="16">
        <v>4</v>
      </c>
      <c r="O204" s="16">
        <v>3</v>
      </c>
      <c r="P204" t="s">
        <v>1514</v>
      </c>
      <c r="Q204" t="s">
        <v>1515</v>
      </c>
      <c r="R204" t="s">
        <v>2292</v>
      </c>
      <c r="AA204" s="8"/>
      <c r="AB204" s="8"/>
      <c r="AC204" s="8"/>
      <c r="AE204" s="8"/>
      <c r="AF204" s="8"/>
    </row>
    <row r="205" spans="1:32" x14ac:dyDescent="0.15">
      <c r="A205" t="s">
        <v>1072</v>
      </c>
      <c r="B205" t="s">
        <v>1073</v>
      </c>
      <c r="C205" s="8" t="s">
        <v>158</v>
      </c>
      <c r="D205">
        <v>1.41</v>
      </c>
      <c r="E205">
        <v>0.88</v>
      </c>
      <c r="F205" t="s">
        <v>2192</v>
      </c>
      <c r="G205" s="16">
        <v>0</v>
      </c>
      <c r="H205" s="16">
        <v>0</v>
      </c>
      <c r="I205" s="16">
        <v>0</v>
      </c>
      <c r="J205" s="16">
        <v>1</v>
      </c>
      <c r="K205" s="16">
        <v>1</v>
      </c>
      <c r="L205" s="16">
        <v>0</v>
      </c>
      <c r="M205" s="16">
        <v>1</v>
      </c>
      <c r="N205" s="16">
        <v>2</v>
      </c>
      <c r="O205" s="16">
        <v>1</v>
      </c>
      <c r="P205" t="s">
        <v>1074</v>
      </c>
      <c r="Q205" t="s">
        <v>1075</v>
      </c>
      <c r="AA205" s="8"/>
      <c r="AB205" s="8"/>
      <c r="AC205" s="8"/>
      <c r="AE205" s="8"/>
      <c r="AF205" s="8"/>
    </row>
    <row r="206" spans="1:32" x14ac:dyDescent="0.15">
      <c r="A206" t="s">
        <v>803</v>
      </c>
      <c r="B206" t="s">
        <v>1073</v>
      </c>
      <c r="C206" s="8" t="s">
        <v>158</v>
      </c>
      <c r="D206">
        <v>1.79</v>
      </c>
      <c r="E206">
        <v>0.61</v>
      </c>
      <c r="F206" t="s">
        <v>1884</v>
      </c>
      <c r="G206" s="16">
        <v>0</v>
      </c>
      <c r="H206" s="16">
        <v>1</v>
      </c>
      <c r="I206" s="16">
        <v>4</v>
      </c>
      <c r="J206" s="16">
        <v>0</v>
      </c>
      <c r="K206" s="16">
        <v>0</v>
      </c>
      <c r="L206" s="16">
        <v>1</v>
      </c>
      <c r="M206" s="16">
        <v>1</v>
      </c>
      <c r="N206" s="16">
        <v>2</v>
      </c>
      <c r="O206" s="16">
        <v>2</v>
      </c>
      <c r="P206" t="s">
        <v>1111</v>
      </c>
      <c r="Q206" t="s">
        <v>1082</v>
      </c>
      <c r="AA206" s="8"/>
      <c r="AB206" s="8"/>
      <c r="AC206" s="8"/>
      <c r="AE206" s="8"/>
      <c r="AF206" s="8"/>
    </row>
    <row r="207" spans="1:32" x14ac:dyDescent="0.15">
      <c r="A207" t="s">
        <v>1141</v>
      </c>
      <c r="B207" t="s">
        <v>1073</v>
      </c>
      <c r="C207" s="8" t="s">
        <v>158</v>
      </c>
      <c r="D207">
        <v>2.04</v>
      </c>
      <c r="E207">
        <v>0.74</v>
      </c>
      <c r="F207" t="s">
        <v>2197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2</v>
      </c>
      <c r="O207" s="16">
        <v>2</v>
      </c>
      <c r="P207" t="s">
        <v>1111</v>
      </c>
      <c r="Q207" t="s">
        <v>1082</v>
      </c>
      <c r="AA207" s="8"/>
      <c r="AB207" s="8"/>
      <c r="AC207" s="8"/>
      <c r="AE207" s="8"/>
      <c r="AF207" s="8"/>
    </row>
    <row r="208" spans="1:32" x14ac:dyDescent="0.15">
      <c r="A208" t="s">
        <v>966</v>
      </c>
      <c r="B208" t="s">
        <v>1073</v>
      </c>
      <c r="C208" s="8" t="s">
        <v>158</v>
      </c>
      <c r="D208">
        <v>6.77</v>
      </c>
      <c r="E208">
        <v>1.46</v>
      </c>
      <c r="F208" t="s">
        <v>2198</v>
      </c>
      <c r="G208" s="16">
        <v>4</v>
      </c>
      <c r="H208" s="16">
        <v>4</v>
      </c>
      <c r="I208" s="16">
        <v>2</v>
      </c>
      <c r="J208" s="16">
        <v>0</v>
      </c>
      <c r="K208" s="16">
        <v>0</v>
      </c>
      <c r="L208" s="16">
        <v>2</v>
      </c>
      <c r="M208" s="16">
        <v>1</v>
      </c>
      <c r="N208" s="16">
        <v>2</v>
      </c>
      <c r="O208" s="16">
        <v>2</v>
      </c>
      <c r="P208" t="s">
        <v>1081</v>
      </c>
      <c r="Q208" t="s">
        <v>1041</v>
      </c>
      <c r="AA208" s="8"/>
      <c r="AB208" s="8"/>
      <c r="AC208" s="8"/>
      <c r="AE208" s="8"/>
      <c r="AF208" s="8"/>
    </row>
    <row r="209" spans="1:32" x14ac:dyDescent="0.15">
      <c r="A209" t="s">
        <v>1511</v>
      </c>
      <c r="B209" t="s">
        <v>1648</v>
      </c>
      <c r="C209" s="8" t="s">
        <v>158</v>
      </c>
      <c r="D209">
        <v>1.52</v>
      </c>
      <c r="E209">
        <v>0.57999999999999996</v>
      </c>
      <c r="F209" t="s">
        <v>1814</v>
      </c>
      <c r="G209" s="16">
        <v>2</v>
      </c>
      <c r="H209" s="16">
        <v>4</v>
      </c>
      <c r="I209" s="16">
        <v>1</v>
      </c>
      <c r="J209" s="16">
        <v>0</v>
      </c>
      <c r="K209" s="16">
        <v>0</v>
      </c>
      <c r="L209" s="16">
        <v>0</v>
      </c>
      <c r="M209" s="16">
        <v>1</v>
      </c>
      <c r="N209" s="16">
        <v>1</v>
      </c>
      <c r="O209" s="16">
        <v>2</v>
      </c>
      <c r="P209" t="s">
        <v>1649</v>
      </c>
      <c r="Q209" t="s">
        <v>1581</v>
      </c>
      <c r="AA209" s="8"/>
      <c r="AB209" s="8"/>
      <c r="AC209" s="8"/>
      <c r="AE209" s="8"/>
      <c r="AF209" s="8"/>
    </row>
    <row r="210" spans="1:32" x14ac:dyDescent="0.15">
      <c r="A210" t="s">
        <v>1023</v>
      </c>
      <c r="B210" t="s">
        <v>965</v>
      </c>
      <c r="C210" s="8" t="s">
        <v>158</v>
      </c>
      <c r="D210">
        <v>1.29</v>
      </c>
      <c r="E210">
        <v>0.57999999999999996</v>
      </c>
      <c r="F210" t="s">
        <v>2223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1</v>
      </c>
      <c r="N210" s="16">
        <v>1</v>
      </c>
      <c r="O210" s="16">
        <v>2</v>
      </c>
      <c r="P210" t="s">
        <v>802</v>
      </c>
      <c r="Q210" t="s">
        <v>730</v>
      </c>
      <c r="AA210" s="8"/>
      <c r="AB210" s="8"/>
      <c r="AC210" s="8"/>
      <c r="AE210" s="8"/>
      <c r="AF210" s="8"/>
    </row>
    <row r="211" spans="1:32" x14ac:dyDescent="0.15">
      <c r="A211" t="s">
        <v>897</v>
      </c>
      <c r="B211" t="s">
        <v>965</v>
      </c>
      <c r="C211" s="8" t="s">
        <v>158</v>
      </c>
      <c r="D211">
        <v>3.03</v>
      </c>
      <c r="E211">
        <v>0.75</v>
      </c>
      <c r="F211" t="s">
        <v>2291</v>
      </c>
      <c r="G211" s="16">
        <v>3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2</v>
      </c>
      <c r="O211" s="16">
        <v>2</v>
      </c>
      <c r="P211" t="s">
        <v>898</v>
      </c>
      <c r="Q211" t="s">
        <v>1071</v>
      </c>
      <c r="AA211" s="8"/>
      <c r="AB211" s="8"/>
      <c r="AC211" s="8"/>
      <c r="AE211" s="8"/>
      <c r="AF211" s="8"/>
    </row>
    <row r="212" spans="1:32" x14ac:dyDescent="0.15">
      <c r="A212" t="s">
        <v>728</v>
      </c>
      <c r="B212" t="s">
        <v>965</v>
      </c>
      <c r="C212" s="8" t="s">
        <v>158</v>
      </c>
      <c r="D212">
        <v>1.42</v>
      </c>
      <c r="E212">
        <v>0.55000000000000004</v>
      </c>
      <c r="F212" t="s">
        <v>2299</v>
      </c>
      <c r="G212" s="16">
        <v>0</v>
      </c>
      <c r="H212" s="16">
        <v>4</v>
      </c>
      <c r="I212" s="16">
        <v>1</v>
      </c>
      <c r="J212" s="16">
        <v>0</v>
      </c>
      <c r="K212" s="16">
        <v>0</v>
      </c>
      <c r="L212" s="16">
        <v>0</v>
      </c>
      <c r="M212" s="16">
        <v>1</v>
      </c>
      <c r="N212" s="16">
        <v>2</v>
      </c>
      <c r="O212" s="16">
        <v>2</v>
      </c>
      <c r="P212" t="s">
        <v>1134</v>
      </c>
      <c r="Q212" t="s">
        <v>730</v>
      </c>
      <c r="R212" t="s">
        <v>2304</v>
      </c>
      <c r="AA212" s="8"/>
      <c r="AB212" s="8"/>
      <c r="AC212" s="8"/>
      <c r="AE212" s="8"/>
      <c r="AF212" s="8"/>
    </row>
    <row r="213" spans="1:32" x14ac:dyDescent="0.15">
      <c r="A213" t="s">
        <v>1033</v>
      </c>
      <c r="B213" t="s">
        <v>1034</v>
      </c>
      <c r="C213" s="8" t="s">
        <v>158</v>
      </c>
      <c r="D213">
        <v>1.17</v>
      </c>
      <c r="E213">
        <v>0.36</v>
      </c>
      <c r="F213" t="s">
        <v>831</v>
      </c>
      <c r="G213" s="16">
        <v>1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1</v>
      </c>
      <c r="N213" s="16">
        <v>1</v>
      </c>
      <c r="O213" s="16">
        <v>1</v>
      </c>
      <c r="P213" t="s">
        <v>1134</v>
      </c>
      <c r="Q213" t="s">
        <v>1092</v>
      </c>
      <c r="R213" t="s">
        <v>1993</v>
      </c>
      <c r="AA213" s="8"/>
      <c r="AB213" s="8"/>
      <c r="AC213" s="8"/>
      <c r="AE213" s="8"/>
      <c r="AF213" s="8"/>
    </row>
    <row r="214" spans="1:32" x14ac:dyDescent="0.15">
      <c r="A214" t="s">
        <v>773</v>
      </c>
      <c r="B214" t="s">
        <v>1034</v>
      </c>
      <c r="C214" s="8" t="s">
        <v>158</v>
      </c>
      <c r="D214">
        <v>1.51</v>
      </c>
      <c r="E214">
        <v>0.54</v>
      </c>
      <c r="F214" t="s">
        <v>772</v>
      </c>
      <c r="G214" s="16">
        <v>0</v>
      </c>
      <c r="H214" s="16">
        <v>3</v>
      </c>
      <c r="I214" s="16">
        <v>2</v>
      </c>
      <c r="J214" s="16">
        <v>2</v>
      </c>
      <c r="K214" s="16">
        <v>1</v>
      </c>
      <c r="L214" s="16">
        <v>0</v>
      </c>
      <c r="M214" s="16">
        <v>1</v>
      </c>
      <c r="N214" s="16">
        <v>1</v>
      </c>
      <c r="O214" s="16">
        <v>2</v>
      </c>
      <c r="P214" t="s">
        <v>774</v>
      </c>
      <c r="Q214" t="s">
        <v>733</v>
      </c>
      <c r="R214" t="s">
        <v>1978</v>
      </c>
      <c r="AA214" s="8"/>
      <c r="AB214" s="8"/>
      <c r="AC214" s="8"/>
      <c r="AE214" s="8"/>
      <c r="AF214" s="8"/>
    </row>
    <row r="215" spans="1:32" x14ac:dyDescent="0.15">
      <c r="A215" t="s">
        <v>950</v>
      </c>
      <c r="B215" t="s">
        <v>965</v>
      </c>
      <c r="C215" s="8" t="s">
        <v>158</v>
      </c>
      <c r="D215">
        <v>1.6</v>
      </c>
      <c r="E215">
        <v>0.92</v>
      </c>
      <c r="F215" t="s">
        <v>2088</v>
      </c>
      <c r="G215" s="16">
        <v>3</v>
      </c>
      <c r="H215" s="16">
        <v>4</v>
      </c>
      <c r="I215" s="16">
        <v>4</v>
      </c>
      <c r="J215" s="16">
        <v>0</v>
      </c>
      <c r="K215" s="16">
        <v>0</v>
      </c>
      <c r="L215" s="16">
        <v>0</v>
      </c>
      <c r="M215" s="16">
        <v>1</v>
      </c>
      <c r="N215" s="16">
        <v>1</v>
      </c>
      <c r="O215" s="16">
        <v>2</v>
      </c>
      <c r="P215" t="s">
        <v>885</v>
      </c>
      <c r="Q215" t="s">
        <v>889</v>
      </c>
      <c r="AA215" s="8"/>
      <c r="AB215" s="8"/>
      <c r="AC215" s="8"/>
      <c r="AE215" s="8"/>
      <c r="AF215" s="8"/>
    </row>
    <row r="216" spans="1:32" x14ac:dyDescent="0.15">
      <c r="A216" t="s">
        <v>734</v>
      </c>
      <c r="B216" t="s">
        <v>1034</v>
      </c>
      <c r="C216" s="8" t="s">
        <v>158</v>
      </c>
      <c r="D216">
        <v>3.32</v>
      </c>
      <c r="E216">
        <v>0.85</v>
      </c>
      <c r="F216" t="s">
        <v>735</v>
      </c>
      <c r="G216" s="16">
        <v>0</v>
      </c>
      <c r="H216" s="16">
        <v>6</v>
      </c>
      <c r="I216" s="16">
        <v>4</v>
      </c>
      <c r="J216" s="16">
        <v>0</v>
      </c>
      <c r="K216" s="16">
        <v>0</v>
      </c>
      <c r="L216" s="16">
        <v>0</v>
      </c>
      <c r="M216" s="16">
        <v>0</v>
      </c>
      <c r="N216" s="16">
        <v>1</v>
      </c>
      <c r="O216" s="16">
        <v>1</v>
      </c>
      <c r="P216" t="s">
        <v>802</v>
      </c>
      <c r="Q216" t="s">
        <v>1043</v>
      </c>
      <c r="R216" t="s">
        <v>2131</v>
      </c>
      <c r="AA216" s="8"/>
      <c r="AB216" s="8"/>
      <c r="AC216" s="8"/>
      <c r="AE216" s="8"/>
      <c r="AF216" s="8"/>
    </row>
    <row r="217" spans="1:32" x14ac:dyDescent="0.15">
      <c r="A217" t="s">
        <v>1485</v>
      </c>
      <c r="B217" t="s">
        <v>1486</v>
      </c>
      <c r="C217" s="8" t="s">
        <v>158</v>
      </c>
      <c r="D217">
        <v>1.38</v>
      </c>
      <c r="E217">
        <v>0.6</v>
      </c>
      <c r="F217" t="s">
        <v>852</v>
      </c>
      <c r="G217" s="16">
        <v>0</v>
      </c>
      <c r="H217" s="16">
        <v>2</v>
      </c>
      <c r="I217" s="16">
        <v>1</v>
      </c>
      <c r="J217" s="16">
        <v>0</v>
      </c>
      <c r="K217" s="16">
        <v>0</v>
      </c>
      <c r="L217" s="16">
        <v>0</v>
      </c>
      <c r="M217" s="16">
        <v>1</v>
      </c>
      <c r="N217" s="16">
        <v>2</v>
      </c>
      <c r="O217" s="16">
        <v>2</v>
      </c>
      <c r="P217" t="s">
        <v>1487</v>
      </c>
      <c r="Q217" t="s">
        <v>1313</v>
      </c>
      <c r="R217" t="s">
        <v>1979</v>
      </c>
      <c r="AA217" s="8"/>
      <c r="AB217" s="8"/>
      <c r="AC217" s="8"/>
      <c r="AE217" s="8"/>
      <c r="AF217" s="8"/>
    </row>
    <row r="218" spans="1:32" x14ac:dyDescent="0.15">
      <c r="A218" t="s">
        <v>1606</v>
      </c>
      <c r="B218" t="s">
        <v>1607</v>
      </c>
      <c r="C218" s="8" t="s">
        <v>158</v>
      </c>
      <c r="D218">
        <v>1.71</v>
      </c>
      <c r="E218">
        <v>0.56000000000000005</v>
      </c>
      <c r="F218" t="s">
        <v>944</v>
      </c>
      <c r="G218" s="16">
        <v>0</v>
      </c>
      <c r="H218" s="16">
        <v>0</v>
      </c>
      <c r="I218" s="16">
        <v>0</v>
      </c>
      <c r="J218" s="16">
        <v>1</v>
      </c>
      <c r="K218" s="16">
        <v>1</v>
      </c>
      <c r="L218" s="16">
        <v>0</v>
      </c>
      <c r="M218" s="16">
        <v>1</v>
      </c>
      <c r="N218" s="16">
        <v>1</v>
      </c>
      <c r="O218" s="16">
        <v>2</v>
      </c>
      <c r="P218" t="s">
        <v>1396</v>
      </c>
      <c r="Q218" t="s">
        <v>1602</v>
      </c>
      <c r="R218" t="s">
        <v>1986</v>
      </c>
      <c r="AA218" s="8"/>
      <c r="AB218" s="8"/>
      <c r="AC218" s="8"/>
      <c r="AE218" s="8"/>
      <c r="AF218" s="8"/>
    </row>
    <row r="219" spans="1:32" x14ac:dyDescent="0.15">
      <c r="A219" t="s">
        <v>1608</v>
      </c>
      <c r="B219" t="s">
        <v>1486</v>
      </c>
      <c r="C219" s="8" t="s">
        <v>158</v>
      </c>
      <c r="D219">
        <v>4</v>
      </c>
      <c r="E219">
        <v>1.02</v>
      </c>
      <c r="F219" t="s">
        <v>857</v>
      </c>
      <c r="G219" s="16">
        <v>3</v>
      </c>
      <c r="H219" s="16">
        <v>6</v>
      </c>
      <c r="I219" s="16">
        <v>4</v>
      </c>
      <c r="J219" s="16">
        <v>0</v>
      </c>
      <c r="K219" s="16">
        <v>0</v>
      </c>
      <c r="L219" s="16">
        <v>0</v>
      </c>
      <c r="M219" s="16">
        <v>1</v>
      </c>
      <c r="N219" s="16">
        <v>4</v>
      </c>
      <c r="O219" s="16">
        <v>3</v>
      </c>
      <c r="P219" t="s">
        <v>1393</v>
      </c>
      <c r="Q219" t="s">
        <v>1613</v>
      </c>
      <c r="R219" t="s">
        <v>1986</v>
      </c>
      <c r="AA219" s="8"/>
      <c r="AB219" s="8"/>
      <c r="AC219" s="8"/>
      <c r="AE219" s="8"/>
      <c r="AF219" s="8"/>
    </row>
    <row r="220" spans="1:32" x14ac:dyDescent="0.15">
      <c r="A220" t="s">
        <v>1702</v>
      </c>
      <c r="B220" t="s">
        <v>1707</v>
      </c>
      <c r="C220" s="8" t="s">
        <v>158</v>
      </c>
      <c r="D220">
        <v>2.74</v>
      </c>
      <c r="E220">
        <v>0.78</v>
      </c>
      <c r="F220" t="s">
        <v>788</v>
      </c>
      <c r="G220" s="16">
        <v>1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1</v>
      </c>
      <c r="O220" s="16">
        <v>2</v>
      </c>
      <c r="P220" t="s">
        <v>1396</v>
      </c>
      <c r="Q220" t="s">
        <v>1676</v>
      </c>
      <c r="R220" t="s">
        <v>2135</v>
      </c>
      <c r="AA220" s="8"/>
      <c r="AB220" s="8"/>
      <c r="AC220" s="8"/>
      <c r="AE220" s="8"/>
      <c r="AF220" s="8"/>
    </row>
    <row r="221" spans="1:32" x14ac:dyDescent="0.15">
      <c r="A221" t="s">
        <v>1692</v>
      </c>
      <c r="B221" t="s">
        <v>1486</v>
      </c>
      <c r="C221" s="8" t="s">
        <v>158</v>
      </c>
      <c r="D221">
        <v>5.43</v>
      </c>
      <c r="E221">
        <v>1.79</v>
      </c>
      <c r="F221" t="s">
        <v>2040</v>
      </c>
      <c r="G221" s="16">
        <v>3</v>
      </c>
      <c r="H221" s="16">
        <v>2</v>
      </c>
      <c r="I221" s="16">
        <v>1</v>
      </c>
      <c r="J221" s="16">
        <v>2</v>
      </c>
      <c r="K221" s="16">
        <v>1</v>
      </c>
      <c r="L221" s="16">
        <v>0</v>
      </c>
      <c r="M221" s="16">
        <v>1</v>
      </c>
      <c r="N221" s="16">
        <v>2</v>
      </c>
      <c r="O221" s="16">
        <v>2</v>
      </c>
      <c r="P221" t="s">
        <v>1693</v>
      </c>
      <c r="Q221" t="s">
        <v>1602</v>
      </c>
      <c r="AA221" s="8"/>
      <c r="AB221" s="8"/>
      <c r="AC221" s="8"/>
      <c r="AE221" s="8"/>
      <c r="AF221" s="8"/>
    </row>
    <row r="222" spans="1:32" x14ac:dyDescent="0.15">
      <c r="A222" t="s">
        <v>1640</v>
      </c>
      <c r="B222" t="s">
        <v>1707</v>
      </c>
      <c r="C222" s="8" t="s">
        <v>158</v>
      </c>
      <c r="D222">
        <v>4.46</v>
      </c>
      <c r="E222">
        <v>0.83</v>
      </c>
      <c r="F222" t="s">
        <v>2123</v>
      </c>
      <c r="G222" s="16">
        <v>2</v>
      </c>
      <c r="H222" s="16">
        <v>1</v>
      </c>
      <c r="I222" s="16">
        <v>1</v>
      </c>
      <c r="J222" s="16">
        <v>0</v>
      </c>
      <c r="K222" s="16">
        <v>0</v>
      </c>
      <c r="L222" s="16">
        <v>0</v>
      </c>
      <c r="M222" s="16">
        <v>1</v>
      </c>
      <c r="N222" s="16">
        <v>2</v>
      </c>
      <c r="O222" s="16">
        <v>2</v>
      </c>
      <c r="P222" t="s">
        <v>1638</v>
      </c>
      <c r="Q222" t="s">
        <v>1613</v>
      </c>
      <c r="R222" t="s">
        <v>2077</v>
      </c>
      <c r="AA222" s="8"/>
      <c r="AB222" s="8"/>
      <c r="AC222" s="8"/>
      <c r="AE222" s="8"/>
      <c r="AF222" s="8"/>
    </row>
    <row r="223" spans="1:32" x14ac:dyDescent="0.15">
      <c r="A223" t="s">
        <v>1673</v>
      </c>
      <c r="B223" t="s">
        <v>1607</v>
      </c>
      <c r="C223" s="8" t="s">
        <v>158</v>
      </c>
      <c r="D223">
        <v>2.17</v>
      </c>
      <c r="E223">
        <v>0.97</v>
      </c>
      <c r="F223" t="s">
        <v>2105</v>
      </c>
      <c r="G223" s="16">
        <v>3</v>
      </c>
      <c r="H223" s="16">
        <v>4</v>
      </c>
      <c r="I223" s="16">
        <v>1</v>
      </c>
      <c r="J223" s="16">
        <v>0</v>
      </c>
      <c r="K223" s="16">
        <v>0</v>
      </c>
      <c r="L223" s="16">
        <v>0</v>
      </c>
      <c r="M223" s="16">
        <v>1</v>
      </c>
      <c r="N223" s="16">
        <v>2</v>
      </c>
      <c r="O223" s="16">
        <v>2</v>
      </c>
      <c r="P223" t="s">
        <v>1396</v>
      </c>
      <c r="Q223" t="s">
        <v>1613</v>
      </c>
      <c r="R223" t="s">
        <v>2078</v>
      </c>
      <c r="AA223" s="8"/>
      <c r="AB223" s="8"/>
      <c r="AC223" s="8"/>
      <c r="AE223" s="8"/>
      <c r="AF223" s="8"/>
    </row>
    <row r="224" spans="1:32" x14ac:dyDescent="0.15">
      <c r="A224" t="s">
        <v>1773</v>
      </c>
      <c r="B224" t="s">
        <v>1607</v>
      </c>
      <c r="C224" s="8" t="s">
        <v>158</v>
      </c>
      <c r="D224">
        <v>2.72</v>
      </c>
      <c r="E224">
        <v>0.78</v>
      </c>
      <c r="F224" t="s">
        <v>2046</v>
      </c>
      <c r="G224" s="16">
        <v>3</v>
      </c>
      <c r="H224" s="16">
        <v>0</v>
      </c>
      <c r="I224" s="16">
        <v>0</v>
      </c>
      <c r="J224" s="16">
        <v>2</v>
      </c>
      <c r="K224" s="16">
        <v>1</v>
      </c>
      <c r="L224" s="16">
        <v>0</v>
      </c>
      <c r="M224" s="16">
        <v>1</v>
      </c>
      <c r="N224" s="16">
        <v>2</v>
      </c>
      <c r="O224" s="16">
        <v>2</v>
      </c>
      <c r="P224" t="s">
        <v>1774</v>
      </c>
      <c r="Q224" t="s">
        <v>1617</v>
      </c>
      <c r="R224" t="s">
        <v>1911</v>
      </c>
      <c r="AA224" s="8"/>
      <c r="AB224" s="8"/>
      <c r="AC224" s="8"/>
      <c r="AE224" s="8"/>
      <c r="AF224" s="8"/>
    </row>
    <row r="225" spans="1:32" x14ac:dyDescent="0.15">
      <c r="A225" t="s">
        <v>1494</v>
      </c>
      <c r="B225" t="s">
        <v>1707</v>
      </c>
      <c r="C225" s="8" t="s">
        <v>158</v>
      </c>
      <c r="D225">
        <v>4.2300000000000004</v>
      </c>
      <c r="E225">
        <v>0.94</v>
      </c>
      <c r="F225" t="s">
        <v>2051</v>
      </c>
      <c r="G225" s="16">
        <v>2</v>
      </c>
      <c r="H225" s="16">
        <v>4</v>
      </c>
      <c r="I225" s="16">
        <v>1</v>
      </c>
      <c r="J225" s="16">
        <v>2</v>
      </c>
      <c r="K225" s="16">
        <v>1</v>
      </c>
      <c r="L225" s="16">
        <v>0</v>
      </c>
      <c r="M225" s="16">
        <v>1</v>
      </c>
      <c r="N225" s="16">
        <v>2</v>
      </c>
      <c r="O225" s="16">
        <v>2</v>
      </c>
      <c r="P225" t="s">
        <v>1396</v>
      </c>
      <c r="Q225" t="s">
        <v>1613</v>
      </c>
      <c r="R225" t="s">
        <v>2140</v>
      </c>
      <c r="AA225" s="8"/>
      <c r="AB225" s="8"/>
      <c r="AC225" s="8"/>
      <c r="AE225" s="8"/>
      <c r="AF225" s="8"/>
    </row>
    <row r="226" spans="1:32" x14ac:dyDescent="0.15">
      <c r="A226" t="s">
        <v>1609</v>
      </c>
      <c r="B226" t="s">
        <v>1707</v>
      </c>
      <c r="C226" s="8" t="s">
        <v>158</v>
      </c>
      <c r="D226">
        <v>1.46</v>
      </c>
      <c r="E226">
        <v>0.49</v>
      </c>
      <c r="F226" t="s">
        <v>908</v>
      </c>
      <c r="G226" s="16">
        <v>1</v>
      </c>
      <c r="H226" s="16">
        <v>1</v>
      </c>
      <c r="I226" s="16">
        <v>1</v>
      </c>
      <c r="J226" s="16">
        <v>1</v>
      </c>
      <c r="K226" s="16">
        <v>2</v>
      </c>
      <c r="L226" s="16">
        <v>1</v>
      </c>
      <c r="M226" s="16">
        <v>1</v>
      </c>
      <c r="N226" s="16">
        <v>2</v>
      </c>
      <c r="O226" s="16">
        <v>2</v>
      </c>
      <c r="P226" t="s">
        <v>1610</v>
      </c>
      <c r="Q226" t="s">
        <v>1613</v>
      </c>
      <c r="AA226" s="8"/>
      <c r="AB226" s="8"/>
      <c r="AC226" s="8"/>
      <c r="AE226" s="8"/>
      <c r="AF226" s="8"/>
    </row>
    <row r="227" spans="1:32" x14ac:dyDescent="0.15">
      <c r="A227" t="s">
        <v>1642</v>
      </c>
      <c r="B227" t="s">
        <v>1643</v>
      </c>
      <c r="C227" s="8" t="s">
        <v>158</v>
      </c>
      <c r="D227">
        <v>1.86</v>
      </c>
      <c r="E227">
        <v>0.59</v>
      </c>
      <c r="F227" t="s">
        <v>2017</v>
      </c>
      <c r="G227" s="16">
        <v>3</v>
      </c>
      <c r="H227" s="16">
        <v>4</v>
      </c>
      <c r="I227" s="16">
        <v>4</v>
      </c>
      <c r="J227" s="16">
        <v>2</v>
      </c>
      <c r="K227" s="16">
        <v>2</v>
      </c>
      <c r="L227" s="16">
        <v>0</v>
      </c>
      <c r="M227" s="16">
        <v>1</v>
      </c>
      <c r="N227" s="16">
        <v>2</v>
      </c>
      <c r="O227" s="16">
        <v>2</v>
      </c>
      <c r="P227" t="s">
        <v>1393</v>
      </c>
      <c r="Q227" t="s">
        <v>1613</v>
      </c>
      <c r="AA227" s="8"/>
      <c r="AB227" s="8"/>
      <c r="AC227" s="8"/>
      <c r="AE227" s="8"/>
      <c r="AF227" s="8"/>
    </row>
    <row r="228" spans="1:32" x14ac:dyDescent="0.15">
      <c r="A228" t="s">
        <v>1573</v>
      </c>
      <c r="B228" t="s">
        <v>1486</v>
      </c>
      <c r="C228" s="8" t="s">
        <v>158</v>
      </c>
      <c r="D228">
        <v>2.58</v>
      </c>
      <c r="E228">
        <v>0.7</v>
      </c>
      <c r="F228" t="s">
        <v>2044</v>
      </c>
      <c r="G228" s="16">
        <v>0</v>
      </c>
      <c r="H228" s="16">
        <v>2</v>
      </c>
      <c r="I228" s="16">
        <v>1</v>
      </c>
      <c r="J228" s="16">
        <v>0</v>
      </c>
      <c r="K228" s="16">
        <v>0</v>
      </c>
      <c r="L228" s="16">
        <v>0</v>
      </c>
      <c r="M228" s="16">
        <v>1</v>
      </c>
      <c r="N228" s="16">
        <v>1</v>
      </c>
      <c r="O228" s="16">
        <v>2</v>
      </c>
      <c r="P228" t="s">
        <v>1396</v>
      </c>
      <c r="Q228" t="s">
        <v>1313</v>
      </c>
      <c r="AA228" s="8"/>
      <c r="AB228" s="8"/>
      <c r="AC228" s="8"/>
      <c r="AE228" s="8"/>
      <c r="AF228" s="8"/>
    </row>
    <row r="229" spans="1:32" x14ac:dyDescent="0.15">
      <c r="A229" t="s">
        <v>1965</v>
      </c>
      <c r="B229" t="s">
        <v>1486</v>
      </c>
      <c r="C229" s="8" t="s">
        <v>158</v>
      </c>
      <c r="D229">
        <v>3.75</v>
      </c>
      <c r="E229">
        <v>0.76</v>
      </c>
      <c r="F229" t="s">
        <v>1964</v>
      </c>
      <c r="G229" s="16">
        <v>2</v>
      </c>
      <c r="H229" s="16">
        <v>0</v>
      </c>
      <c r="I229" s="16">
        <v>0</v>
      </c>
      <c r="J229" s="16">
        <v>0</v>
      </c>
      <c r="K229" s="16">
        <v>0</v>
      </c>
      <c r="L229" s="16">
        <v>2</v>
      </c>
      <c r="M229" s="16">
        <v>1</v>
      </c>
      <c r="N229" s="16">
        <v>2</v>
      </c>
      <c r="O229" s="16">
        <v>2</v>
      </c>
      <c r="P229" t="s">
        <v>1694</v>
      </c>
      <c r="Q229" t="s">
        <v>1613</v>
      </c>
      <c r="R229" t="s">
        <v>2007</v>
      </c>
      <c r="AA229" s="8"/>
      <c r="AB229" s="8"/>
      <c r="AC229" s="8"/>
      <c r="AE229" s="8"/>
      <c r="AF229" s="8"/>
    </row>
    <row r="230" spans="1:32" x14ac:dyDescent="0.15">
      <c r="A230" t="s">
        <v>1695</v>
      </c>
      <c r="B230" t="s">
        <v>1486</v>
      </c>
      <c r="C230" s="8" t="s">
        <v>158</v>
      </c>
      <c r="D230">
        <v>1.1399999999999999</v>
      </c>
      <c r="E230">
        <v>0.36</v>
      </c>
      <c r="F230" t="s">
        <v>1966</v>
      </c>
      <c r="G230" s="16">
        <v>1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1</v>
      </c>
      <c r="O230" s="16">
        <v>2</v>
      </c>
      <c r="P230" t="s">
        <v>1393</v>
      </c>
      <c r="Q230" t="s">
        <v>1676</v>
      </c>
      <c r="AA230" s="8"/>
      <c r="AB230" s="8"/>
      <c r="AC230" s="8"/>
      <c r="AE230" s="8"/>
      <c r="AF230" s="8"/>
    </row>
    <row r="231" spans="1:32" x14ac:dyDescent="0.15">
      <c r="A231" t="s">
        <v>1727</v>
      </c>
      <c r="B231" t="s">
        <v>1707</v>
      </c>
      <c r="C231" s="8" t="s">
        <v>158</v>
      </c>
      <c r="D231">
        <v>1.75</v>
      </c>
      <c r="E231">
        <v>0.42</v>
      </c>
      <c r="F231" t="s">
        <v>1968</v>
      </c>
      <c r="G231" s="16">
        <v>2</v>
      </c>
      <c r="H231" s="16">
        <v>4</v>
      </c>
      <c r="I231" s="16">
        <v>4</v>
      </c>
      <c r="J231" s="16">
        <v>2</v>
      </c>
      <c r="K231" s="16">
        <v>2</v>
      </c>
      <c r="L231" s="16">
        <v>2</v>
      </c>
      <c r="M231" s="16">
        <v>1</v>
      </c>
      <c r="N231" s="16">
        <v>1</v>
      </c>
      <c r="O231" s="16">
        <v>2</v>
      </c>
      <c r="P231" t="s">
        <v>1728</v>
      </c>
      <c r="Q231" t="s">
        <v>1617</v>
      </c>
      <c r="AA231" s="8"/>
      <c r="AB231" s="8"/>
      <c r="AC231" s="8"/>
      <c r="AE231" s="8"/>
      <c r="AF231" s="8"/>
    </row>
    <row r="232" spans="1:32" x14ac:dyDescent="0.15">
      <c r="A232" t="s">
        <v>1736</v>
      </c>
      <c r="B232" t="s">
        <v>1707</v>
      </c>
      <c r="C232" s="8" t="s">
        <v>158</v>
      </c>
      <c r="D232">
        <v>1.03</v>
      </c>
      <c r="E232">
        <v>0.4</v>
      </c>
      <c r="F232" t="s">
        <v>2183</v>
      </c>
      <c r="G232" s="16">
        <v>3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1</v>
      </c>
      <c r="N232" s="16">
        <v>2</v>
      </c>
      <c r="O232" s="16">
        <v>2</v>
      </c>
      <c r="P232" t="s">
        <v>1396</v>
      </c>
      <c r="Q232" t="s">
        <v>1617</v>
      </c>
      <c r="AA232" s="8"/>
      <c r="AB232" s="8"/>
      <c r="AC232" s="8"/>
      <c r="AE232" s="8"/>
      <c r="AF232" s="8"/>
    </row>
    <row r="233" spans="1:32" x14ac:dyDescent="0.15">
      <c r="A233" t="s">
        <v>1710</v>
      </c>
      <c r="B233" t="s">
        <v>1707</v>
      </c>
      <c r="C233" s="8" t="s">
        <v>158</v>
      </c>
      <c r="D233">
        <v>4.08</v>
      </c>
      <c r="E233">
        <v>0.18</v>
      </c>
      <c r="F233" t="s">
        <v>2155</v>
      </c>
      <c r="G233" s="16">
        <v>0</v>
      </c>
      <c r="H233" s="16">
        <v>9</v>
      </c>
      <c r="I233" s="16">
        <v>4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t="s">
        <v>1752</v>
      </c>
      <c r="Q233" t="s">
        <v>1396</v>
      </c>
      <c r="R233" t="s">
        <v>2265</v>
      </c>
      <c r="AA233" s="8"/>
      <c r="AB233" s="8"/>
      <c r="AC233" s="8"/>
      <c r="AE233" s="8"/>
      <c r="AF233" s="8"/>
    </row>
    <row r="234" spans="1:32" x14ac:dyDescent="0.15">
      <c r="A234" t="s">
        <v>1711</v>
      </c>
      <c r="B234" t="s">
        <v>1486</v>
      </c>
      <c r="C234" s="8" t="s">
        <v>158</v>
      </c>
      <c r="D234">
        <v>4.46</v>
      </c>
      <c r="E234">
        <v>0.61</v>
      </c>
      <c r="F234" t="s">
        <v>2155</v>
      </c>
      <c r="G234" s="16">
        <v>0</v>
      </c>
      <c r="H234" s="16">
        <v>3</v>
      </c>
      <c r="I234" s="16">
        <v>4</v>
      </c>
      <c r="J234" s="16">
        <v>0</v>
      </c>
      <c r="K234" s="16">
        <v>0</v>
      </c>
      <c r="L234" s="16">
        <v>0</v>
      </c>
      <c r="M234" s="16">
        <v>0</v>
      </c>
      <c r="N234" s="16">
        <v>4</v>
      </c>
      <c r="O234" s="16">
        <v>2</v>
      </c>
      <c r="P234" t="s">
        <v>1396</v>
      </c>
      <c r="Q234" t="s">
        <v>1394</v>
      </c>
      <c r="R234" t="s">
        <v>2266</v>
      </c>
      <c r="AA234" s="8"/>
      <c r="AB234" s="8"/>
      <c r="AC234" s="8"/>
      <c r="AE234" s="8"/>
      <c r="AF234" s="8"/>
    </row>
    <row r="235" spans="1:32" x14ac:dyDescent="0.15">
      <c r="A235" t="s">
        <v>1775</v>
      </c>
      <c r="B235" t="s">
        <v>1607</v>
      </c>
      <c r="C235" s="8" t="s">
        <v>158</v>
      </c>
      <c r="D235">
        <v>5.99</v>
      </c>
      <c r="E235">
        <v>1.1000000000000001</v>
      </c>
      <c r="F235" t="s">
        <v>2056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1</v>
      </c>
      <c r="O235" s="16">
        <v>2</v>
      </c>
      <c r="P235" t="s">
        <v>1393</v>
      </c>
      <c r="Q235" t="s">
        <v>1394</v>
      </c>
      <c r="R235" t="s">
        <v>2141</v>
      </c>
      <c r="AA235" s="8"/>
      <c r="AB235" s="8"/>
      <c r="AC235" s="8"/>
      <c r="AE235" s="8"/>
      <c r="AF235" s="8"/>
    </row>
    <row r="236" spans="1:32" x14ac:dyDescent="0.15">
      <c r="A236" t="s">
        <v>1797</v>
      </c>
      <c r="B236" t="s">
        <v>1707</v>
      </c>
      <c r="C236" s="8" t="s">
        <v>158</v>
      </c>
      <c r="D236">
        <v>1.27</v>
      </c>
      <c r="E236">
        <v>0.48</v>
      </c>
      <c r="F236" t="s">
        <v>1902</v>
      </c>
      <c r="G236" s="16">
        <v>3</v>
      </c>
      <c r="H236" s="16">
        <v>1</v>
      </c>
      <c r="I236" s="16">
        <v>1</v>
      </c>
      <c r="J236" s="16">
        <v>2</v>
      </c>
      <c r="K236" s="16">
        <v>1</v>
      </c>
      <c r="L236" s="16">
        <v>0</v>
      </c>
      <c r="M236" s="16">
        <v>1</v>
      </c>
      <c r="N236" s="16">
        <v>1</v>
      </c>
      <c r="O236" s="16">
        <v>2</v>
      </c>
      <c r="P236" t="s">
        <v>1402</v>
      </c>
      <c r="Q236" t="s">
        <v>1617</v>
      </c>
      <c r="AA236" s="8"/>
      <c r="AB236" s="8"/>
      <c r="AC236" s="8"/>
      <c r="AE236" s="8"/>
      <c r="AF236" s="8"/>
    </row>
    <row r="237" spans="1:32" x14ac:dyDescent="0.15">
      <c r="A237" t="s">
        <v>1730</v>
      </c>
      <c r="B237" t="s">
        <v>1607</v>
      </c>
      <c r="C237" s="8" t="s">
        <v>158</v>
      </c>
      <c r="D237">
        <v>1.0900000000000001</v>
      </c>
      <c r="E237">
        <v>0.37</v>
      </c>
      <c r="F237" t="s">
        <v>1739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1</v>
      </c>
      <c r="N237" s="16">
        <v>1</v>
      </c>
      <c r="O237" s="16">
        <v>2</v>
      </c>
      <c r="P237" t="s">
        <v>1396</v>
      </c>
      <c r="Q237" t="s">
        <v>1313</v>
      </c>
      <c r="R237" t="s">
        <v>1747</v>
      </c>
      <c r="AA237" s="8"/>
      <c r="AB237" s="8"/>
      <c r="AC237" s="8"/>
      <c r="AE237" s="8"/>
      <c r="AF237" s="8"/>
    </row>
    <row r="238" spans="1:32" x14ac:dyDescent="0.15">
      <c r="A238" t="s">
        <v>1731</v>
      </c>
      <c r="B238" t="s">
        <v>1486</v>
      </c>
      <c r="C238" s="8" t="s">
        <v>158</v>
      </c>
      <c r="D238">
        <v>1.38</v>
      </c>
      <c r="E238">
        <v>0.57999999999999996</v>
      </c>
      <c r="F238" t="s">
        <v>1740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1</v>
      </c>
      <c r="M238" s="16">
        <v>1</v>
      </c>
      <c r="N238" s="16">
        <v>1</v>
      </c>
      <c r="O238" s="16">
        <v>2</v>
      </c>
      <c r="P238" t="s">
        <v>1396</v>
      </c>
      <c r="Q238" t="s">
        <v>1602</v>
      </c>
      <c r="AA238" s="8"/>
      <c r="AB238" s="8"/>
      <c r="AC238" s="8"/>
      <c r="AE238" s="8"/>
      <c r="AF238" s="8"/>
    </row>
    <row r="239" spans="1:32" x14ac:dyDescent="0.15">
      <c r="A239" t="s">
        <v>1569</v>
      </c>
      <c r="B239" t="s">
        <v>1570</v>
      </c>
      <c r="C239" s="8" t="s">
        <v>158</v>
      </c>
      <c r="D239">
        <v>1.99</v>
      </c>
      <c r="E239">
        <v>0.52</v>
      </c>
      <c r="F239" t="s">
        <v>1970</v>
      </c>
      <c r="G239" s="16">
        <v>0</v>
      </c>
      <c r="H239" s="16">
        <v>2</v>
      </c>
      <c r="I239" s="16">
        <v>1</v>
      </c>
      <c r="J239" s="16">
        <v>1</v>
      </c>
      <c r="K239" s="16">
        <v>1</v>
      </c>
      <c r="L239" s="16">
        <v>1</v>
      </c>
      <c r="M239" s="16">
        <v>1</v>
      </c>
      <c r="N239" s="16">
        <v>1</v>
      </c>
      <c r="O239" s="16">
        <v>2</v>
      </c>
      <c r="P239" t="s">
        <v>1571</v>
      </c>
      <c r="Q239" t="s">
        <v>1313</v>
      </c>
      <c r="AA239" s="8"/>
      <c r="AB239" s="8"/>
      <c r="AC239" s="8"/>
      <c r="AE239" s="8"/>
      <c r="AF239" s="8"/>
    </row>
    <row r="240" spans="1:32" x14ac:dyDescent="0.15">
      <c r="A240" t="s">
        <v>1844</v>
      </c>
      <c r="B240" t="s">
        <v>1707</v>
      </c>
      <c r="C240" s="8" t="s">
        <v>158</v>
      </c>
      <c r="D240">
        <v>1.69</v>
      </c>
      <c r="E240">
        <v>0.56999999999999995</v>
      </c>
      <c r="F240" t="s">
        <v>2122</v>
      </c>
      <c r="G240" s="16">
        <v>2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2</v>
      </c>
      <c r="P240" t="s">
        <v>1720</v>
      </c>
      <c r="Q240" t="s">
        <v>1676</v>
      </c>
      <c r="AA240" s="8"/>
      <c r="AB240" s="8"/>
      <c r="AC240" s="8"/>
      <c r="AE240" s="8"/>
      <c r="AF240" s="8"/>
    </row>
    <row r="241" spans="1:32" x14ac:dyDescent="0.15">
      <c r="A241" t="s">
        <v>2231</v>
      </c>
      <c r="B241" t="s">
        <v>2227</v>
      </c>
      <c r="C241" s="8" t="s">
        <v>158</v>
      </c>
      <c r="D241">
        <v>1.05</v>
      </c>
      <c r="E241">
        <v>0.41</v>
      </c>
      <c r="F241" t="s">
        <v>2097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1</v>
      </c>
      <c r="M241" s="16">
        <v>1</v>
      </c>
      <c r="N241" s="16">
        <v>2</v>
      </c>
      <c r="O241" s="16">
        <v>1</v>
      </c>
      <c r="P241" t="s">
        <v>2092</v>
      </c>
      <c r="Q241" t="s">
        <v>2093</v>
      </c>
      <c r="R241" t="s">
        <v>2386</v>
      </c>
      <c r="AA241" s="8"/>
      <c r="AB241" s="8"/>
      <c r="AC241" s="8"/>
      <c r="AE241" s="8"/>
      <c r="AF241" s="8"/>
    </row>
    <row r="242" spans="1:32" x14ac:dyDescent="0.15">
      <c r="A242" t="s">
        <v>2278</v>
      </c>
      <c r="B242" t="s">
        <v>2227</v>
      </c>
      <c r="C242" s="8" t="s">
        <v>158</v>
      </c>
      <c r="D242">
        <v>1.68</v>
      </c>
      <c r="E242">
        <v>0.51</v>
      </c>
      <c r="F242" t="s">
        <v>2057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1</v>
      </c>
      <c r="N242" s="16">
        <v>2</v>
      </c>
      <c r="O242" s="16">
        <v>2</v>
      </c>
      <c r="P242" t="s">
        <v>2375</v>
      </c>
      <c r="Q242" t="s">
        <v>2093</v>
      </c>
      <c r="AA242" s="8"/>
      <c r="AB242" s="8"/>
      <c r="AC242" s="8"/>
      <c r="AE242" s="8"/>
      <c r="AF242" s="8"/>
    </row>
    <row r="243" spans="1:32" x14ac:dyDescent="0.15">
      <c r="A243" t="s">
        <v>691</v>
      </c>
      <c r="B243" t="s">
        <v>692</v>
      </c>
      <c r="C243" s="8" t="s">
        <v>158</v>
      </c>
      <c r="D243">
        <v>1.1299999999999999</v>
      </c>
      <c r="E243">
        <v>0.75</v>
      </c>
      <c r="F243" t="s">
        <v>693</v>
      </c>
      <c r="G243" s="16">
        <v>3</v>
      </c>
      <c r="H243" s="16">
        <v>0</v>
      </c>
      <c r="I243" s="16">
        <v>0</v>
      </c>
      <c r="J243" s="16">
        <v>2</v>
      </c>
      <c r="K243" s="16">
        <v>2</v>
      </c>
      <c r="L243" s="16">
        <v>1</v>
      </c>
      <c r="M243" s="16">
        <v>1</v>
      </c>
      <c r="N243" s="16">
        <v>2</v>
      </c>
      <c r="O243" s="16">
        <v>0</v>
      </c>
      <c r="P243" t="s">
        <v>694</v>
      </c>
      <c r="Q243" t="s">
        <v>695</v>
      </c>
      <c r="R243" t="s">
        <v>2322</v>
      </c>
      <c r="AA243" s="8"/>
      <c r="AB243" s="8"/>
      <c r="AC243" s="8"/>
      <c r="AE243" s="8"/>
      <c r="AF243" s="8"/>
    </row>
    <row r="244" spans="1:32" x14ac:dyDescent="0.15">
      <c r="A244" t="s">
        <v>677</v>
      </c>
      <c r="B244" t="s">
        <v>2504</v>
      </c>
      <c r="C244" s="8" t="s">
        <v>158</v>
      </c>
      <c r="D244">
        <v>0.8</v>
      </c>
      <c r="E244">
        <v>0.37</v>
      </c>
      <c r="F244" t="s">
        <v>678</v>
      </c>
      <c r="G244" s="16">
        <v>2</v>
      </c>
      <c r="H244" s="16">
        <v>2</v>
      </c>
      <c r="I244" s="16">
        <v>1</v>
      </c>
      <c r="J244" s="16">
        <v>0</v>
      </c>
      <c r="K244" s="16">
        <v>0</v>
      </c>
      <c r="L244" s="16">
        <v>0</v>
      </c>
      <c r="M244" s="16">
        <v>1</v>
      </c>
      <c r="N244" s="16">
        <v>1</v>
      </c>
      <c r="O244" s="16">
        <v>1</v>
      </c>
      <c r="P244" t="s">
        <v>764</v>
      </c>
      <c r="Q244" t="s">
        <v>799</v>
      </c>
      <c r="R244" t="s">
        <v>2503</v>
      </c>
      <c r="AA244" s="8"/>
      <c r="AB244" s="8"/>
      <c r="AC244" s="8"/>
      <c r="AE244" s="8"/>
      <c r="AF244" s="8"/>
    </row>
    <row r="245" spans="1:32" x14ac:dyDescent="0.15">
      <c r="A245" t="s">
        <v>584</v>
      </c>
      <c r="B245" t="s">
        <v>585</v>
      </c>
      <c r="C245" s="8" t="s">
        <v>158</v>
      </c>
      <c r="D245">
        <f>0.42*2.2</f>
        <v>0.92400000000000004</v>
      </c>
      <c r="E245">
        <f>0.42*0.73</f>
        <v>0.30659999999999998</v>
      </c>
      <c r="F245" t="s">
        <v>586</v>
      </c>
      <c r="G245" s="16">
        <v>0</v>
      </c>
      <c r="H245" s="16">
        <v>2</v>
      </c>
      <c r="I245" s="16">
        <v>4</v>
      </c>
      <c r="J245" s="16">
        <v>0</v>
      </c>
      <c r="K245" s="16">
        <v>0</v>
      </c>
      <c r="L245" s="16">
        <v>0</v>
      </c>
      <c r="M245" s="16">
        <v>1</v>
      </c>
      <c r="N245" s="16">
        <v>2</v>
      </c>
      <c r="O245" s="16">
        <v>2</v>
      </c>
      <c r="P245" t="s">
        <v>587</v>
      </c>
      <c r="Q245" t="s">
        <v>559</v>
      </c>
      <c r="AA245" s="8"/>
      <c r="AB245" s="8"/>
      <c r="AC245" s="8"/>
      <c r="AE245" s="8"/>
      <c r="AF245" s="8"/>
    </row>
    <row r="246" spans="1:32" x14ac:dyDescent="0.15">
      <c r="A246" t="s">
        <v>497</v>
      </c>
      <c r="B246" t="s">
        <v>498</v>
      </c>
      <c r="C246" s="8" t="s">
        <v>158</v>
      </c>
      <c r="D246">
        <v>2.06</v>
      </c>
      <c r="E246">
        <v>0.52</v>
      </c>
      <c r="F246" t="s">
        <v>499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1</v>
      </c>
      <c r="N246" s="16">
        <v>2</v>
      </c>
      <c r="O246" s="16">
        <v>2</v>
      </c>
      <c r="P246" t="s">
        <v>694</v>
      </c>
      <c r="Q246" t="s">
        <v>559</v>
      </c>
      <c r="AA246" s="8"/>
      <c r="AB246" s="8"/>
      <c r="AC246" s="8"/>
      <c r="AE246" s="8"/>
      <c r="AF246" s="8"/>
    </row>
    <row r="247" spans="1:32" x14ac:dyDescent="0.15">
      <c r="A247" t="s">
        <v>936</v>
      </c>
      <c r="B247" t="s">
        <v>937</v>
      </c>
      <c r="C247" s="8" t="s">
        <v>158</v>
      </c>
      <c r="D247">
        <v>1.47</v>
      </c>
      <c r="E247">
        <v>0.48</v>
      </c>
      <c r="F247" t="s">
        <v>1886</v>
      </c>
      <c r="G247" s="16">
        <v>1</v>
      </c>
      <c r="H247" s="16">
        <v>3</v>
      </c>
      <c r="I247" s="16">
        <v>1</v>
      </c>
      <c r="J247" s="16">
        <v>0</v>
      </c>
      <c r="K247" s="16">
        <v>0</v>
      </c>
      <c r="L247" s="16">
        <v>1</v>
      </c>
      <c r="M247" s="16">
        <v>1</v>
      </c>
      <c r="N247" s="16">
        <v>1</v>
      </c>
      <c r="O247" s="16">
        <v>2</v>
      </c>
      <c r="P247" t="s">
        <v>1081</v>
      </c>
      <c r="Q247" t="s">
        <v>1082</v>
      </c>
      <c r="AA247" s="8"/>
      <c r="AB247" s="8"/>
      <c r="AC247" s="8"/>
      <c r="AE247" s="8"/>
      <c r="AF247" s="8"/>
    </row>
    <row r="248" spans="1:32" x14ac:dyDescent="0.15">
      <c r="A248" t="s">
        <v>1512</v>
      </c>
      <c r="B248" t="s">
        <v>1623</v>
      </c>
      <c r="C248" s="8" t="s">
        <v>158</v>
      </c>
      <c r="D248">
        <v>5.63</v>
      </c>
      <c r="E248">
        <v>0.19</v>
      </c>
      <c r="F248" t="s">
        <v>861</v>
      </c>
      <c r="G248" s="16">
        <v>0</v>
      </c>
      <c r="H248" s="16">
        <v>3</v>
      </c>
      <c r="I248" s="16">
        <v>4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t="s">
        <v>1684</v>
      </c>
      <c r="Q248" t="s">
        <v>1683</v>
      </c>
      <c r="R248" t="s">
        <v>2252</v>
      </c>
      <c r="AA248" s="8"/>
      <c r="AB248" s="8"/>
      <c r="AC248" s="8"/>
      <c r="AE248" s="8"/>
      <c r="AF248" s="8"/>
    </row>
    <row r="249" spans="1:32" x14ac:dyDescent="0.15">
      <c r="A249" t="s">
        <v>1483</v>
      </c>
      <c r="B249" t="s">
        <v>1595</v>
      </c>
      <c r="C249" s="8" t="s">
        <v>158</v>
      </c>
      <c r="D249">
        <v>7.26</v>
      </c>
      <c r="E249">
        <v>1.6</v>
      </c>
      <c r="F249" t="s">
        <v>1914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3</v>
      </c>
      <c r="P249" t="s">
        <v>1529</v>
      </c>
      <c r="Q249" t="s">
        <v>1526</v>
      </c>
      <c r="AA249" s="8"/>
      <c r="AB249" s="8"/>
      <c r="AC249" s="8"/>
      <c r="AE249" s="8"/>
      <c r="AF249" s="8"/>
    </row>
    <row r="250" spans="1:32" x14ac:dyDescent="0.15">
      <c r="A250" t="s">
        <v>1024</v>
      </c>
      <c r="B250" t="s">
        <v>1192</v>
      </c>
      <c r="C250" s="8" t="s">
        <v>158</v>
      </c>
      <c r="D250">
        <v>1.65</v>
      </c>
      <c r="E250">
        <v>0.51</v>
      </c>
      <c r="F250" t="s">
        <v>2224</v>
      </c>
      <c r="G250" s="16">
        <v>2</v>
      </c>
      <c r="H250" s="16">
        <v>1</v>
      </c>
      <c r="I250" s="16">
        <v>1</v>
      </c>
      <c r="J250" s="16">
        <v>1</v>
      </c>
      <c r="K250" s="16">
        <v>1</v>
      </c>
      <c r="L250" s="16">
        <v>0</v>
      </c>
      <c r="M250" s="16">
        <v>1</v>
      </c>
      <c r="N250" s="16">
        <v>1</v>
      </c>
      <c r="O250" s="16">
        <v>2</v>
      </c>
      <c r="P250" t="s">
        <v>1193</v>
      </c>
      <c r="Q250" t="s">
        <v>889</v>
      </c>
      <c r="AA250" s="8"/>
      <c r="AB250" s="8"/>
      <c r="AC250" s="8"/>
      <c r="AE250" s="8"/>
      <c r="AF250" s="8"/>
    </row>
    <row r="251" spans="1:32" x14ac:dyDescent="0.15">
      <c r="A251" t="s">
        <v>1035</v>
      </c>
      <c r="B251" t="s">
        <v>1036</v>
      </c>
      <c r="C251" s="8" t="s">
        <v>158</v>
      </c>
      <c r="D251">
        <v>1.39</v>
      </c>
      <c r="E251">
        <v>0.56000000000000005</v>
      </c>
      <c r="F251" t="s">
        <v>832</v>
      </c>
      <c r="G251" s="16">
        <v>0</v>
      </c>
      <c r="H251" s="16">
        <v>3</v>
      </c>
      <c r="I251" s="16">
        <v>1</v>
      </c>
      <c r="J251" s="16">
        <v>2</v>
      </c>
      <c r="K251" s="16">
        <v>1</v>
      </c>
      <c r="L251" s="16">
        <v>0</v>
      </c>
      <c r="M251" s="16">
        <v>1</v>
      </c>
      <c r="N251" s="16">
        <v>2</v>
      </c>
      <c r="O251" s="16">
        <v>2</v>
      </c>
      <c r="P251" t="s">
        <v>802</v>
      </c>
      <c r="Q251" t="s">
        <v>730</v>
      </c>
      <c r="AA251" s="8"/>
      <c r="AB251" s="8"/>
      <c r="AC251" s="8"/>
      <c r="AE251" s="8"/>
      <c r="AF251" s="8"/>
    </row>
    <row r="252" spans="1:32" x14ac:dyDescent="0.15">
      <c r="A252" t="s">
        <v>949</v>
      </c>
      <c r="B252" t="s">
        <v>1036</v>
      </c>
      <c r="C252" s="8" t="s">
        <v>158</v>
      </c>
      <c r="D252">
        <v>2.12</v>
      </c>
      <c r="E252">
        <v>0.41</v>
      </c>
      <c r="F252" t="s">
        <v>2090</v>
      </c>
      <c r="G252" s="16">
        <v>2</v>
      </c>
      <c r="H252" s="16">
        <v>4</v>
      </c>
      <c r="I252" s="16">
        <v>1</v>
      </c>
      <c r="J252" s="16">
        <v>1</v>
      </c>
      <c r="K252" s="16">
        <v>1</v>
      </c>
      <c r="L252" s="16">
        <v>0</v>
      </c>
      <c r="M252" s="16">
        <v>1</v>
      </c>
      <c r="N252" s="16">
        <v>1</v>
      </c>
      <c r="O252" s="16">
        <v>2</v>
      </c>
      <c r="P252" t="s">
        <v>1134</v>
      </c>
      <c r="Q252" t="s">
        <v>886</v>
      </c>
      <c r="AA252" s="8"/>
      <c r="AB252" s="8"/>
      <c r="AC252" s="8"/>
      <c r="AE252" s="8"/>
      <c r="AF252" s="8"/>
    </row>
    <row r="253" spans="1:32" x14ac:dyDescent="0.15">
      <c r="A253" t="s">
        <v>833</v>
      </c>
      <c r="B253" t="s">
        <v>1036</v>
      </c>
      <c r="C253" s="8" t="s">
        <v>158</v>
      </c>
      <c r="D253">
        <v>1.21</v>
      </c>
      <c r="E253">
        <v>0.6</v>
      </c>
      <c r="F253" t="s">
        <v>2255</v>
      </c>
      <c r="G253" s="16">
        <v>0</v>
      </c>
      <c r="H253" s="16">
        <v>2</v>
      </c>
      <c r="I253" s="16">
        <v>2</v>
      </c>
      <c r="J253" s="16">
        <v>0</v>
      </c>
      <c r="K253" s="16">
        <v>0</v>
      </c>
      <c r="L253" s="16">
        <v>0</v>
      </c>
      <c r="M253" s="16">
        <v>1</v>
      </c>
      <c r="N253" s="16">
        <v>1</v>
      </c>
      <c r="O253" s="16">
        <v>1</v>
      </c>
      <c r="P253" t="s">
        <v>1134</v>
      </c>
      <c r="Q253" t="s">
        <v>730</v>
      </c>
      <c r="AA253" s="8"/>
      <c r="AB253" s="8"/>
      <c r="AC253" s="8"/>
      <c r="AE253" s="8"/>
      <c r="AF253" s="8"/>
    </row>
    <row r="254" spans="1:32" x14ac:dyDescent="0.15">
      <c r="A254" t="s">
        <v>651</v>
      </c>
      <c r="B254" t="s">
        <v>816</v>
      </c>
      <c r="C254" s="8" t="s">
        <v>158</v>
      </c>
      <c r="D254">
        <v>1.56</v>
      </c>
      <c r="E254">
        <v>0.56999999999999995</v>
      </c>
      <c r="F254" t="s">
        <v>2014</v>
      </c>
      <c r="G254" s="16">
        <v>2</v>
      </c>
      <c r="H254" s="16">
        <v>4</v>
      </c>
      <c r="I254" s="16">
        <v>1</v>
      </c>
      <c r="J254" s="16">
        <v>2</v>
      </c>
      <c r="K254" s="16">
        <v>2</v>
      </c>
      <c r="L254" s="16">
        <v>0</v>
      </c>
      <c r="M254" s="16">
        <v>1</v>
      </c>
      <c r="N254" s="16">
        <v>2</v>
      </c>
      <c r="O254" s="16">
        <v>2</v>
      </c>
      <c r="P254" t="s">
        <v>960</v>
      </c>
      <c r="Q254" t="s">
        <v>886</v>
      </c>
      <c r="AA254" s="8"/>
      <c r="AB254" s="8"/>
      <c r="AC254" s="8"/>
      <c r="AE254" s="8"/>
      <c r="AF254" s="8"/>
    </row>
    <row r="255" spans="1:32" x14ac:dyDescent="0.15">
      <c r="A255" t="s">
        <v>805</v>
      </c>
      <c r="B255" t="s">
        <v>1036</v>
      </c>
      <c r="C255" s="8" t="s">
        <v>158</v>
      </c>
      <c r="D255">
        <v>1.1200000000000001</v>
      </c>
      <c r="E255">
        <v>0.43</v>
      </c>
      <c r="F255" t="s">
        <v>564</v>
      </c>
      <c r="G255" s="16">
        <v>0</v>
      </c>
      <c r="H255" s="16">
        <v>1</v>
      </c>
      <c r="I255" s="16">
        <v>1</v>
      </c>
      <c r="J255" s="16">
        <v>0</v>
      </c>
      <c r="K255" s="16">
        <v>0</v>
      </c>
      <c r="L255" s="16">
        <v>0</v>
      </c>
      <c r="M255" s="16">
        <v>1</v>
      </c>
      <c r="N255" s="16">
        <v>1</v>
      </c>
      <c r="O255" s="16">
        <v>2</v>
      </c>
      <c r="P255" t="s">
        <v>1193</v>
      </c>
      <c r="Q255" t="s">
        <v>730</v>
      </c>
      <c r="AA255" s="8"/>
      <c r="AB255" s="8"/>
      <c r="AC255" s="8"/>
      <c r="AE255" s="8"/>
      <c r="AF255" s="8"/>
    </row>
    <row r="256" spans="1:32" x14ac:dyDescent="0.15">
      <c r="A256" t="s">
        <v>1645</v>
      </c>
      <c r="B256" t="s">
        <v>1644</v>
      </c>
      <c r="C256" s="8" t="s">
        <v>158</v>
      </c>
      <c r="D256">
        <v>1.06</v>
      </c>
      <c r="E256">
        <v>0.37</v>
      </c>
      <c r="F256" t="s">
        <v>857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1</v>
      </c>
      <c r="N256" s="16">
        <v>2</v>
      </c>
      <c r="O256" s="16">
        <v>2</v>
      </c>
      <c r="P256" t="s">
        <v>1396</v>
      </c>
      <c r="Q256" t="s">
        <v>1602</v>
      </c>
      <c r="R256" t="s">
        <v>1987</v>
      </c>
      <c r="AA256" s="8"/>
      <c r="AB256" s="8"/>
      <c r="AC256" s="8"/>
      <c r="AE256" s="8"/>
      <c r="AF256" s="8"/>
    </row>
    <row r="257" spans="1:32" x14ac:dyDescent="0.15">
      <c r="A257" t="s">
        <v>1641</v>
      </c>
      <c r="B257" t="s">
        <v>1401</v>
      </c>
      <c r="C257" s="8" t="s">
        <v>158</v>
      </c>
      <c r="D257">
        <v>1.92</v>
      </c>
      <c r="E257">
        <v>0.95</v>
      </c>
      <c r="F257" t="s">
        <v>2104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1</v>
      </c>
      <c r="N257" s="16">
        <v>1</v>
      </c>
      <c r="O257" s="16">
        <v>2</v>
      </c>
      <c r="P257" t="s">
        <v>1402</v>
      </c>
      <c r="Q257" t="s">
        <v>1313</v>
      </c>
      <c r="R257" t="s">
        <v>2165</v>
      </c>
      <c r="AA257" s="8"/>
      <c r="AB257" s="8"/>
      <c r="AC257" s="8"/>
      <c r="AE257" s="8"/>
      <c r="AF257" s="8"/>
    </row>
    <row r="258" spans="1:32" x14ac:dyDescent="0.15">
      <c r="A258" t="s">
        <v>1732</v>
      </c>
      <c r="B258" t="s">
        <v>1735</v>
      </c>
      <c r="C258" s="8" t="s">
        <v>158</v>
      </c>
      <c r="D258">
        <v>1.23</v>
      </c>
      <c r="E258">
        <v>0.74</v>
      </c>
      <c r="F258" t="s">
        <v>2020</v>
      </c>
      <c r="G258" s="16">
        <v>0</v>
      </c>
      <c r="H258" s="16">
        <v>1</v>
      </c>
      <c r="I258" s="16">
        <v>1</v>
      </c>
      <c r="J258" s="16">
        <v>0</v>
      </c>
      <c r="K258" s="16">
        <v>0</v>
      </c>
      <c r="L258" s="16">
        <v>0</v>
      </c>
      <c r="M258" s="16">
        <v>0</v>
      </c>
      <c r="N258" s="16">
        <v>2</v>
      </c>
      <c r="O258" s="16">
        <v>2</v>
      </c>
      <c r="P258" t="s">
        <v>1396</v>
      </c>
      <c r="Q258" t="s">
        <v>1397</v>
      </c>
      <c r="R258" t="s">
        <v>2138</v>
      </c>
      <c r="AA258" s="8"/>
      <c r="AB258" s="8"/>
      <c r="AC258" s="8"/>
      <c r="AE258" s="8"/>
      <c r="AF258" s="8"/>
    </row>
    <row r="259" spans="1:32" x14ac:dyDescent="0.15">
      <c r="A259" t="s">
        <v>1566</v>
      </c>
      <c r="B259" t="s">
        <v>1735</v>
      </c>
      <c r="C259" s="8" t="s">
        <v>158</v>
      </c>
      <c r="D259">
        <v>2.91</v>
      </c>
      <c r="E259">
        <v>0.95</v>
      </c>
      <c r="F259" t="s">
        <v>2032</v>
      </c>
      <c r="G259" s="16">
        <v>0</v>
      </c>
      <c r="H259" s="16">
        <v>1</v>
      </c>
      <c r="I259" s="16">
        <v>1</v>
      </c>
      <c r="J259" s="16">
        <v>0</v>
      </c>
      <c r="K259" s="16">
        <v>0</v>
      </c>
      <c r="L259" s="16">
        <v>1</v>
      </c>
      <c r="M259" s="16">
        <v>1</v>
      </c>
      <c r="N259" s="16">
        <v>1</v>
      </c>
      <c r="O259" s="16">
        <v>2</v>
      </c>
      <c r="P259" t="s">
        <v>1402</v>
      </c>
      <c r="Q259" t="s">
        <v>1602</v>
      </c>
      <c r="R259" t="s">
        <v>1974</v>
      </c>
      <c r="AA259" s="8"/>
      <c r="AB259" s="8"/>
      <c r="AC259" s="8"/>
      <c r="AE259" s="8"/>
      <c r="AF259" s="8"/>
    </row>
    <row r="260" spans="1:32" x14ac:dyDescent="0.15">
      <c r="A260" t="s">
        <v>1718</v>
      </c>
      <c r="B260" t="s">
        <v>1719</v>
      </c>
      <c r="C260" s="8" t="s">
        <v>158</v>
      </c>
      <c r="D260">
        <v>1.37</v>
      </c>
      <c r="E260">
        <v>0.57999999999999996</v>
      </c>
      <c r="F260" t="s">
        <v>2048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2</v>
      </c>
      <c r="O260" s="16">
        <v>2</v>
      </c>
      <c r="P260" t="s">
        <v>1720</v>
      </c>
      <c r="Q260" t="s">
        <v>1721</v>
      </c>
      <c r="AA260" s="8"/>
      <c r="AB260" s="8"/>
      <c r="AC260" s="8"/>
      <c r="AE260" s="8"/>
      <c r="AF260" s="8"/>
    </row>
    <row r="261" spans="1:32" x14ac:dyDescent="0.15">
      <c r="A261" t="s">
        <v>1577</v>
      </c>
      <c r="B261" t="s">
        <v>1578</v>
      </c>
      <c r="C261" s="8" t="s">
        <v>158</v>
      </c>
      <c r="D261">
        <v>5.32</v>
      </c>
      <c r="E261">
        <v>1.21</v>
      </c>
      <c r="F261" t="s">
        <v>2045</v>
      </c>
      <c r="G261" s="16">
        <v>0</v>
      </c>
      <c r="H261" s="16">
        <v>0</v>
      </c>
      <c r="I261" s="16">
        <v>0</v>
      </c>
      <c r="J261" s="16">
        <v>1</v>
      </c>
      <c r="K261" s="16">
        <v>1</v>
      </c>
      <c r="L261" s="16">
        <v>0</v>
      </c>
      <c r="M261" s="16">
        <v>1</v>
      </c>
      <c r="N261" s="16">
        <v>1</v>
      </c>
      <c r="O261" s="16">
        <v>2</v>
      </c>
      <c r="P261" t="s">
        <v>1396</v>
      </c>
      <c r="Q261" t="s">
        <v>1602</v>
      </c>
      <c r="AA261" s="8"/>
      <c r="AB261" s="8"/>
      <c r="AC261" s="8"/>
      <c r="AE261" s="8"/>
      <c r="AF261" s="8"/>
    </row>
    <row r="262" spans="1:32" x14ac:dyDescent="0.15">
      <c r="A262" t="s">
        <v>1800</v>
      </c>
      <c r="B262" t="s">
        <v>1801</v>
      </c>
      <c r="C262" s="8" t="s">
        <v>158</v>
      </c>
      <c r="D262">
        <v>1.35</v>
      </c>
      <c r="E262">
        <v>0.66</v>
      </c>
      <c r="F262" t="s">
        <v>2175</v>
      </c>
      <c r="G262" s="16">
        <v>2</v>
      </c>
      <c r="H262" s="16">
        <v>2</v>
      </c>
      <c r="I262" s="16">
        <v>1</v>
      </c>
      <c r="J262" s="16">
        <v>0</v>
      </c>
      <c r="K262" s="16">
        <v>0</v>
      </c>
      <c r="L262" s="16">
        <v>1</v>
      </c>
      <c r="M262" s="16">
        <v>1</v>
      </c>
      <c r="N262" s="16">
        <v>1</v>
      </c>
      <c r="O262" s="16">
        <v>0</v>
      </c>
      <c r="P262" t="s">
        <v>1610</v>
      </c>
      <c r="Q262" t="s">
        <v>1802</v>
      </c>
      <c r="AA262" s="8"/>
      <c r="AB262" s="8"/>
      <c r="AC262" s="8"/>
      <c r="AE262" s="8"/>
      <c r="AF262" s="8"/>
    </row>
    <row r="263" spans="1:32" x14ac:dyDescent="0.15">
      <c r="A263" t="s">
        <v>2094</v>
      </c>
      <c r="B263" t="s">
        <v>2232</v>
      </c>
      <c r="C263" s="8" t="s">
        <v>158</v>
      </c>
      <c r="D263">
        <v>0.87</v>
      </c>
      <c r="E263">
        <v>0.36</v>
      </c>
      <c r="F263" t="s">
        <v>2098</v>
      </c>
      <c r="G263" s="16">
        <v>1</v>
      </c>
      <c r="H263" s="16">
        <v>1</v>
      </c>
      <c r="I263" s="16">
        <v>1</v>
      </c>
      <c r="J263" s="16">
        <v>2</v>
      </c>
      <c r="K263" s="16">
        <v>1</v>
      </c>
      <c r="L263" s="16">
        <v>0</v>
      </c>
      <c r="M263" s="16">
        <v>1</v>
      </c>
      <c r="N263" s="16">
        <v>2</v>
      </c>
      <c r="O263" s="16">
        <v>1</v>
      </c>
      <c r="P263" t="s">
        <v>2233</v>
      </c>
      <c r="Q263" t="s">
        <v>2229</v>
      </c>
      <c r="AA263" s="8"/>
      <c r="AB263" s="8"/>
      <c r="AC263" s="8"/>
      <c r="AE263" s="8"/>
      <c r="AF263" s="8"/>
    </row>
    <row r="264" spans="1:32" x14ac:dyDescent="0.15">
      <c r="A264" t="s">
        <v>785</v>
      </c>
      <c r="B264" t="s">
        <v>786</v>
      </c>
      <c r="C264" s="8" t="s">
        <v>158</v>
      </c>
      <c r="D264">
        <v>1.49</v>
      </c>
      <c r="E264">
        <v>0.5</v>
      </c>
      <c r="F264" t="s">
        <v>853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1</v>
      </c>
      <c r="N264" s="16">
        <v>1</v>
      </c>
      <c r="O264" s="16">
        <v>2</v>
      </c>
      <c r="P264" t="s">
        <v>854</v>
      </c>
      <c r="Q264" t="s">
        <v>559</v>
      </c>
      <c r="R264" t="s">
        <v>2313</v>
      </c>
      <c r="AA264" s="8"/>
      <c r="AB264" s="8"/>
      <c r="AC264" s="8"/>
      <c r="AE264" s="8"/>
      <c r="AF264" s="8"/>
    </row>
    <row r="265" spans="1:32" x14ac:dyDescent="0.15">
      <c r="A265" t="s">
        <v>620</v>
      </c>
      <c r="B265" t="s">
        <v>656</v>
      </c>
      <c r="C265" s="8" t="s">
        <v>158</v>
      </c>
      <c r="D265">
        <f>0.42*2.3</f>
        <v>0.96599999999999986</v>
      </c>
      <c r="E265">
        <f>0.42*1.12</f>
        <v>0.47040000000000004</v>
      </c>
      <c r="F265" t="s">
        <v>657</v>
      </c>
      <c r="G265" s="16">
        <v>0</v>
      </c>
      <c r="H265" s="16">
        <v>2</v>
      </c>
      <c r="I265" s="16">
        <v>2</v>
      </c>
      <c r="J265" s="16">
        <v>0</v>
      </c>
      <c r="K265" s="16">
        <v>0</v>
      </c>
      <c r="L265" s="16">
        <v>0</v>
      </c>
      <c r="M265" s="16">
        <v>1</v>
      </c>
      <c r="N265" s="16">
        <v>1</v>
      </c>
      <c r="O265" s="16">
        <v>1</v>
      </c>
      <c r="P265" t="s">
        <v>658</v>
      </c>
      <c r="Q265" t="s">
        <v>637</v>
      </c>
      <c r="R265" t="s">
        <v>2273</v>
      </c>
      <c r="AA265" s="8"/>
      <c r="AB265" s="8"/>
      <c r="AC265" s="8"/>
      <c r="AE265" s="8"/>
      <c r="AF265" s="8"/>
    </row>
    <row r="266" spans="1:32" x14ac:dyDescent="0.15">
      <c r="A266" t="s">
        <v>670</v>
      </c>
      <c r="B266" t="s">
        <v>534</v>
      </c>
      <c r="C266" s="8" t="s">
        <v>158</v>
      </c>
      <c r="D266">
        <v>0.75</v>
      </c>
      <c r="E266">
        <v>0.54</v>
      </c>
      <c r="F266" t="s">
        <v>671</v>
      </c>
      <c r="G266" s="16">
        <v>3</v>
      </c>
      <c r="H266" s="16">
        <v>0</v>
      </c>
      <c r="I266" s="16">
        <v>0</v>
      </c>
      <c r="J266" s="16">
        <v>0</v>
      </c>
      <c r="K266" s="16">
        <v>0</v>
      </c>
      <c r="L266" s="16">
        <v>1</v>
      </c>
      <c r="M266" s="16">
        <v>1</v>
      </c>
      <c r="N266" s="16">
        <v>2</v>
      </c>
      <c r="O266" s="16">
        <v>0</v>
      </c>
      <c r="P266" t="s">
        <v>694</v>
      </c>
      <c r="Q266" t="s">
        <v>794</v>
      </c>
      <c r="AA266" s="8"/>
      <c r="AB266" s="8"/>
      <c r="AC266" s="8"/>
      <c r="AE266" s="8"/>
      <c r="AF266" s="8"/>
    </row>
    <row r="267" spans="1:32" x14ac:dyDescent="0.15">
      <c r="A267" t="s">
        <v>468</v>
      </c>
      <c r="B267" t="s">
        <v>679</v>
      </c>
      <c r="C267" s="8" t="s">
        <v>158</v>
      </c>
      <c r="D267">
        <v>1.4</v>
      </c>
      <c r="E267">
        <v>0.45</v>
      </c>
      <c r="F267" t="s">
        <v>471</v>
      </c>
      <c r="G267" s="16">
        <v>0</v>
      </c>
      <c r="H267" s="16">
        <v>0</v>
      </c>
      <c r="I267" s="16">
        <v>0</v>
      </c>
      <c r="J267" s="16">
        <v>1</v>
      </c>
      <c r="K267" s="16">
        <v>1</v>
      </c>
      <c r="L267" s="16">
        <v>2</v>
      </c>
      <c r="M267" s="16">
        <v>1</v>
      </c>
      <c r="N267" s="16">
        <v>2</v>
      </c>
      <c r="O267" s="16">
        <v>2</v>
      </c>
      <c r="P267" t="s">
        <v>467</v>
      </c>
      <c r="Q267" t="s">
        <v>637</v>
      </c>
      <c r="R267" t="s">
        <v>2387</v>
      </c>
      <c r="AA267" s="8"/>
      <c r="AB267" s="8"/>
      <c r="AC267" s="8"/>
      <c r="AE267" s="8"/>
      <c r="AF267" s="8"/>
    </row>
    <row r="268" spans="1:32" x14ac:dyDescent="0.15">
      <c r="A268" t="s">
        <v>540</v>
      </c>
      <c r="B268" t="s">
        <v>541</v>
      </c>
      <c r="C268" s="8" t="s">
        <v>158</v>
      </c>
      <c r="D268">
        <f>0.42*4.67</f>
        <v>1.9613999999999998</v>
      </c>
      <c r="E268">
        <f>0.42*1.35</f>
        <v>0.56700000000000006</v>
      </c>
      <c r="F268" t="s">
        <v>542</v>
      </c>
      <c r="G268" s="16">
        <v>1</v>
      </c>
      <c r="H268" s="16">
        <v>4</v>
      </c>
      <c r="I268" s="16">
        <v>1</v>
      </c>
      <c r="J268" s="16">
        <v>0</v>
      </c>
      <c r="K268" s="16">
        <v>0</v>
      </c>
      <c r="L268" s="16">
        <v>1</v>
      </c>
      <c r="M268" s="16">
        <v>1</v>
      </c>
      <c r="N268" s="16">
        <v>1</v>
      </c>
      <c r="O268" s="16">
        <v>1</v>
      </c>
      <c r="P268" t="s">
        <v>694</v>
      </c>
      <c r="Q268" t="s">
        <v>660</v>
      </c>
      <c r="AA268" s="8"/>
      <c r="AB268" s="8"/>
      <c r="AC268" s="8"/>
      <c r="AE268" s="8"/>
      <c r="AF268" s="8"/>
    </row>
    <row r="269" spans="1:32" x14ac:dyDescent="0.15">
      <c r="A269" t="s">
        <v>590</v>
      </c>
      <c r="B269" t="s">
        <v>541</v>
      </c>
      <c r="C269" s="8" t="s">
        <v>158</v>
      </c>
      <c r="D269">
        <v>2.5499999999999998</v>
      </c>
      <c r="E269">
        <v>0.55000000000000004</v>
      </c>
      <c r="F269" t="s">
        <v>591</v>
      </c>
      <c r="G269" s="16">
        <v>0</v>
      </c>
      <c r="H269" s="16">
        <v>5</v>
      </c>
      <c r="I269" s="16">
        <v>1</v>
      </c>
      <c r="J269" s="16">
        <v>0</v>
      </c>
      <c r="K269" s="16">
        <v>0</v>
      </c>
      <c r="L269" s="16">
        <v>0</v>
      </c>
      <c r="M269" s="16">
        <v>1</v>
      </c>
      <c r="N269" s="16">
        <v>1</v>
      </c>
      <c r="O269" s="16">
        <v>1</v>
      </c>
      <c r="P269" t="s">
        <v>798</v>
      </c>
      <c r="Q269" t="s">
        <v>637</v>
      </c>
      <c r="R269" t="s">
        <v>2160</v>
      </c>
      <c r="AA269" s="8"/>
      <c r="AB269" s="8"/>
      <c r="AC269" s="8"/>
      <c r="AE269" s="8"/>
      <c r="AF269" s="8"/>
    </row>
    <row r="270" spans="1:32" x14ac:dyDescent="0.15">
      <c r="A270" t="s">
        <v>508</v>
      </c>
      <c r="B270" t="s">
        <v>509</v>
      </c>
      <c r="C270" s="8" t="s">
        <v>158</v>
      </c>
      <c r="D270">
        <v>1.37</v>
      </c>
      <c r="E270">
        <v>0.73</v>
      </c>
      <c r="F270" t="s">
        <v>510</v>
      </c>
      <c r="G270" s="16">
        <v>2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1</v>
      </c>
      <c r="N270" s="16">
        <v>2</v>
      </c>
      <c r="O270" s="16">
        <v>2</v>
      </c>
      <c r="P270" t="s">
        <v>764</v>
      </c>
      <c r="Q270" t="s">
        <v>799</v>
      </c>
      <c r="AA270" s="8"/>
      <c r="AB270" s="8"/>
      <c r="AC270" s="8"/>
      <c r="AE270" s="8"/>
      <c r="AF270" s="8"/>
    </row>
    <row r="271" spans="1:32" x14ac:dyDescent="0.15">
      <c r="A271" t="s">
        <v>527</v>
      </c>
      <c r="B271" t="s">
        <v>534</v>
      </c>
      <c r="C271" s="8" t="s">
        <v>158</v>
      </c>
      <c r="D271">
        <f>0.42*3.07</f>
        <v>1.2893999999999999</v>
      </c>
      <c r="E271">
        <f>0.42*1.24</f>
        <v>0.52079999999999993</v>
      </c>
      <c r="F271" t="s">
        <v>528</v>
      </c>
      <c r="G271" s="16">
        <v>2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1</v>
      </c>
      <c r="N271" s="16">
        <v>1</v>
      </c>
      <c r="O271" s="16">
        <v>1</v>
      </c>
      <c r="P271" t="s">
        <v>529</v>
      </c>
      <c r="Q271" t="s">
        <v>799</v>
      </c>
      <c r="AA271" s="8"/>
      <c r="AB271" s="8"/>
      <c r="AC271" s="8"/>
      <c r="AE271" s="8"/>
      <c r="AF271" s="8"/>
    </row>
    <row r="272" spans="1:32" x14ac:dyDescent="0.15">
      <c r="A272" t="s">
        <v>1699</v>
      </c>
      <c r="B272" t="s">
        <v>2489</v>
      </c>
      <c r="C272" s="8" t="s">
        <v>158</v>
      </c>
      <c r="D272">
        <v>2.52</v>
      </c>
      <c r="E272">
        <v>0.86</v>
      </c>
      <c r="F272" t="s">
        <v>1995</v>
      </c>
      <c r="G272" s="16">
        <v>3</v>
      </c>
      <c r="H272" s="16">
        <v>2</v>
      </c>
      <c r="I272" s="16">
        <v>4</v>
      </c>
      <c r="J272" s="16">
        <v>0</v>
      </c>
      <c r="K272" s="16">
        <v>0</v>
      </c>
      <c r="L272" s="16">
        <v>0</v>
      </c>
      <c r="M272" s="16">
        <v>1</v>
      </c>
      <c r="N272" s="16">
        <v>4</v>
      </c>
      <c r="O272" s="16">
        <v>3</v>
      </c>
      <c r="P272" t="s">
        <v>1683</v>
      </c>
      <c r="Q272" t="s">
        <v>1624</v>
      </c>
      <c r="R272" t="s">
        <v>899</v>
      </c>
      <c r="AA272" s="8"/>
      <c r="AB272" s="8"/>
      <c r="AC272" s="8"/>
      <c r="AE272" s="8"/>
      <c r="AF272" s="8"/>
    </row>
    <row r="273" spans="1:32" x14ac:dyDescent="0.15">
      <c r="A273" t="s">
        <v>440</v>
      </c>
      <c r="B273" t="s">
        <v>258</v>
      </c>
      <c r="C273" s="8" t="s">
        <v>158</v>
      </c>
      <c r="D273">
        <f>0.42*7.74</f>
        <v>3.2507999999999999</v>
      </c>
      <c r="E273">
        <f>0.42*2.61</f>
        <v>1.0961999999999998</v>
      </c>
      <c r="F273" t="s">
        <v>441</v>
      </c>
      <c r="G273" s="16">
        <v>3</v>
      </c>
      <c r="H273" s="16">
        <v>5</v>
      </c>
      <c r="I273" s="16">
        <v>4</v>
      </c>
      <c r="J273" s="16">
        <v>0</v>
      </c>
      <c r="K273" s="16">
        <v>0</v>
      </c>
      <c r="L273" s="16">
        <v>1</v>
      </c>
      <c r="M273" s="16">
        <v>1</v>
      </c>
      <c r="N273" s="16">
        <v>1</v>
      </c>
      <c r="O273" s="16">
        <v>3</v>
      </c>
      <c r="P273" t="s">
        <v>694</v>
      </c>
      <c r="Q273" t="s">
        <v>799</v>
      </c>
      <c r="AA273" s="8"/>
      <c r="AB273" s="8"/>
      <c r="AC273" s="8"/>
      <c r="AE273" s="8"/>
      <c r="AF273" s="8"/>
    </row>
    <row r="274" spans="1:32" x14ac:dyDescent="0.15">
      <c r="A274" t="s">
        <v>1497</v>
      </c>
      <c r="B274" t="s">
        <v>1498</v>
      </c>
      <c r="C274" s="8" t="s">
        <v>156</v>
      </c>
      <c r="D274">
        <v>6.51</v>
      </c>
      <c r="E274">
        <v>2.48</v>
      </c>
      <c r="F274" t="s">
        <v>1877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1</v>
      </c>
      <c r="M274" s="16">
        <v>1</v>
      </c>
      <c r="N274" s="16">
        <v>2</v>
      </c>
      <c r="O274" s="16">
        <v>2</v>
      </c>
      <c r="P274" t="s">
        <v>1514</v>
      </c>
      <c r="Q274" t="s">
        <v>1559</v>
      </c>
      <c r="AA274" s="8"/>
      <c r="AB274" s="8"/>
      <c r="AC274" s="8"/>
      <c r="AE274" s="8"/>
      <c r="AF274" s="8"/>
    </row>
    <row r="275" spans="1:32" x14ac:dyDescent="0.15">
      <c r="A275" t="s">
        <v>1887</v>
      </c>
      <c r="B275" t="s">
        <v>1888</v>
      </c>
      <c r="C275" s="8" t="s">
        <v>156</v>
      </c>
      <c r="D275">
        <v>4.13</v>
      </c>
      <c r="E275">
        <v>1.82</v>
      </c>
      <c r="F275" t="s">
        <v>820</v>
      </c>
      <c r="G275" s="16">
        <v>0</v>
      </c>
      <c r="H275" s="16">
        <v>4</v>
      </c>
      <c r="I275" s="16">
        <v>1</v>
      </c>
      <c r="J275" s="16">
        <v>0</v>
      </c>
      <c r="K275" s="16">
        <v>0</v>
      </c>
      <c r="L275" s="16">
        <v>0</v>
      </c>
      <c r="M275" s="16">
        <v>1</v>
      </c>
      <c r="N275" s="16">
        <v>2</v>
      </c>
      <c r="O275" s="16">
        <v>2</v>
      </c>
      <c r="P275" t="s">
        <v>1393</v>
      </c>
      <c r="Q275" t="s">
        <v>1313</v>
      </c>
      <c r="AA275" s="8"/>
      <c r="AB275" s="8"/>
      <c r="AC275" s="8"/>
      <c r="AE275" s="8"/>
      <c r="AF275" s="8"/>
    </row>
    <row r="276" spans="1:32" x14ac:dyDescent="0.15">
      <c r="A276" t="s">
        <v>849</v>
      </c>
      <c r="B276" t="s">
        <v>2620</v>
      </c>
      <c r="C276" s="8" t="s">
        <v>158</v>
      </c>
      <c r="D276">
        <v>3.71</v>
      </c>
      <c r="E276">
        <v>1.1499999999999999</v>
      </c>
      <c r="F276" t="s">
        <v>2205</v>
      </c>
      <c r="G276" s="16">
        <v>4</v>
      </c>
      <c r="H276" s="16">
        <v>3</v>
      </c>
      <c r="I276" s="16">
        <v>2</v>
      </c>
      <c r="J276" s="16">
        <v>2</v>
      </c>
      <c r="K276" s="16">
        <v>1</v>
      </c>
      <c r="L276" s="16">
        <v>0</v>
      </c>
      <c r="M276" s="16">
        <v>1</v>
      </c>
      <c r="N276" s="16">
        <v>4</v>
      </c>
      <c r="O276" s="16">
        <v>2</v>
      </c>
      <c r="P276" t="s">
        <v>898</v>
      </c>
      <c r="Q276" t="s">
        <v>886</v>
      </c>
      <c r="AA276" s="8"/>
      <c r="AB276" s="8"/>
      <c r="AC276" s="8"/>
      <c r="AE276" s="8"/>
      <c r="AF276" s="8"/>
    </row>
    <row r="277" spans="1:32" x14ac:dyDescent="0.15">
      <c r="A277" t="s">
        <v>858</v>
      </c>
      <c r="B277" t="s">
        <v>256</v>
      </c>
      <c r="C277" s="8" t="s">
        <v>158</v>
      </c>
      <c r="D277">
        <v>2.86</v>
      </c>
      <c r="E277">
        <v>0.88</v>
      </c>
      <c r="F277" t="s">
        <v>2080</v>
      </c>
      <c r="G277" s="16">
        <v>3</v>
      </c>
      <c r="H277" s="16">
        <v>4</v>
      </c>
      <c r="I277" s="16">
        <v>4</v>
      </c>
      <c r="J277" s="16">
        <v>1</v>
      </c>
      <c r="K277" s="16">
        <v>1</v>
      </c>
      <c r="L277" s="16">
        <v>0</v>
      </c>
      <c r="M277" s="16">
        <v>1</v>
      </c>
      <c r="N277" s="16">
        <v>1</v>
      </c>
      <c r="O277" s="16">
        <v>2</v>
      </c>
      <c r="P277" t="s">
        <v>650</v>
      </c>
      <c r="Q277" t="s">
        <v>889</v>
      </c>
      <c r="AA277" s="8"/>
      <c r="AB277" s="8"/>
      <c r="AC277" s="8"/>
      <c r="AE277" s="8"/>
      <c r="AF277" s="8"/>
    </row>
    <row r="278" spans="1:32" x14ac:dyDescent="0.15">
      <c r="A278" t="s">
        <v>709</v>
      </c>
      <c r="B278" t="s">
        <v>257</v>
      </c>
      <c r="C278" s="8" t="s">
        <v>162</v>
      </c>
      <c r="D278">
        <f>0.42*7.7</f>
        <v>3.234</v>
      </c>
      <c r="E278">
        <f>0.42*1.62</f>
        <v>0.6804</v>
      </c>
      <c r="F278" t="s">
        <v>710</v>
      </c>
      <c r="G278" s="16">
        <v>3</v>
      </c>
      <c r="H278" s="16">
        <v>5</v>
      </c>
      <c r="I278" s="16">
        <v>4</v>
      </c>
      <c r="J278" s="16">
        <v>0</v>
      </c>
      <c r="K278" s="16">
        <v>0</v>
      </c>
      <c r="L278" s="16">
        <v>1</v>
      </c>
      <c r="M278" s="16">
        <v>1</v>
      </c>
      <c r="N278" s="16">
        <v>2</v>
      </c>
      <c r="O278" s="16">
        <v>1</v>
      </c>
      <c r="P278" t="s">
        <v>798</v>
      </c>
      <c r="Q278" t="s">
        <v>799</v>
      </c>
      <c r="R278" t="s">
        <v>2116</v>
      </c>
      <c r="AA278" s="8"/>
      <c r="AB278" s="8"/>
      <c r="AC278" s="8"/>
      <c r="AE278" s="8"/>
      <c r="AF278" s="8"/>
    </row>
    <row r="279" spans="1:32" x14ac:dyDescent="0.15">
      <c r="A279" t="s">
        <v>1941</v>
      </c>
      <c r="B279" t="s">
        <v>1786</v>
      </c>
      <c r="C279" s="8" t="s">
        <v>154</v>
      </c>
      <c r="D279">
        <v>6.2</v>
      </c>
      <c r="E279">
        <v>2.9</v>
      </c>
      <c r="F279" t="s">
        <v>915</v>
      </c>
      <c r="G279" s="16">
        <v>4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2</v>
      </c>
      <c r="O279" s="16">
        <v>2</v>
      </c>
      <c r="P279" t="s">
        <v>1393</v>
      </c>
      <c r="Q279" t="s">
        <v>1676</v>
      </c>
      <c r="R279" t="s">
        <v>739</v>
      </c>
      <c r="AA279" s="8"/>
      <c r="AB279" s="8"/>
      <c r="AC279" s="8"/>
      <c r="AE279" s="8"/>
      <c r="AF279" s="8"/>
    </row>
    <row r="280" spans="1:32" x14ac:dyDescent="0.15">
      <c r="A280" t="s">
        <v>428</v>
      </c>
      <c r="B280" t="s">
        <v>429</v>
      </c>
      <c r="C280" s="8" t="s">
        <v>154</v>
      </c>
      <c r="D280">
        <f>0.42*14.11</f>
        <v>5.9261999999999997</v>
      </c>
      <c r="E280">
        <f>0.42*7.77</f>
        <v>3.2633999999999999</v>
      </c>
      <c r="F280" t="s">
        <v>430</v>
      </c>
      <c r="G280" s="16">
        <v>3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t="s">
        <v>467</v>
      </c>
      <c r="Q280" t="s">
        <v>431</v>
      </c>
      <c r="R280" t="s">
        <v>2340</v>
      </c>
      <c r="AA280" s="8"/>
      <c r="AB280" s="8"/>
      <c r="AC280" s="8"/>
      <c r="AE280" s="8"/>
      <c r="AF280" s="8"/>
    </row>
    <row r="281" spans="1:32" x14ac:dyDescent="0.15">
      <c r="A281" t="s">
        <v>927</v>
      </c>
      <c r="B281" t="s">
        <v>928</v>
      </c>
      <c r="C281" s="8" t="s">
        <v>154</v>
      </c>
      <c r="D281">
        <v>5.86</v>
      </c>
      <c r="E281">
        <v>2.91</v>
      </c>
      <c r="F281" t="s">
        <v>2220</v>
      </c>
      <c r="G281" s="16">
        <v>4</v>
      </c>
      <c r="H281" s="16">
        <v>4</v>
      </c>
      <c r="I281" s="16">
        <v>2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t="s">
        <v>895</v>
      </c>
      <c r="Q281" t="s">
        <v>929</v>
      </c>
      <c r="R281" t="s">
        <v>2154</v>
      </c>
      <c r="AA281" s="8"/>
      <c r="AB281" s="8"/>
      <c r="AC281" s="8"/>
      <c r="AE281" s="8"/>
      <c r="AF281" s="8"/>
    </row>
    <row r="282" spans="1:32" x14ac:dyDescent="0.15">
      <c r="A282" t="s">
        <v>870</v>
      </c>
      <c r="B282" t="s">
        <v>871</v>
      </c>
      <c r="C282" s="8" t="s">
        <v>160</v>
      </c>
      <c r="D282">
        <f>10.06*0.43</f>
        <v>4.3258000000000001</v>
      </c>
      <c r="E282">
        <f>3.96*0.43</f>
        <v>1.7027999999999999</v>
      </c>
      <c r="F282" t="s">
        <v>793</v>
      </c>
      <c r="G282" s="16">
        <v>4</v>
      </c>
      <c r="H282" s="16">
        <v>3</v>
      </c>
      <c r="I282" s="16">
        <v>2</v>
      </c>
      <c r="J282" s="16">
        <v>0</v>
      </c>
      <c r="K282" s="16">
        <v>0</v>
      </c>
      <c r="L282" s="16">
        <v>1</v>
      </c>
      <c r="M282" s="16">
        <v>1</v>
      </c>
      <c r="N282" s="16">
        <v>2</v>
      </c>
      <c r="O282" s="16">
        <v>1</v>
      </c>
      <c r="P282" t="s">
        <v>798</v>
      </c>
      <c r="Q282" t="s">
        <v>794</v>
      </c>
      <c r="R282" t="s">
        <v>2355</v>
      </c>
      <c r="AA282" s="8"/>
      <c r="AB282" s="8"/>
      <c r="AC282" s="8"/>
      <c r="AE282" s="8"/>
      <c r="AF282" s="8"/>
    </row>
    <row r="283" spans="1:32" x14ac:dyDescent="0.15">
      <c r="A283" t="s">
        <v>308</v>
      </c>
      <c r="B283" t="s">
        <v>309</v>
      </c>
      <c r="C283" s="8" t="s">
        <v>154</v>
      </c>
      <c r="D283">
        <f>0.42*5.27</f>
        <v>2.2133999999999996</v>
      </c>
      <c r="E283">
        <f>0.42*2.24</f>
        <v>0.94080000000000008</v>
      </c>
      <c r="F283" t="s">
        <v>310</v>
      </c>
      <c r="G283" s="16">
        <v>2</v>
      </c>
      <c r="H283" s="16">
        <v>0</v>
      </c>
      <c r="I283" s="16">
        <v>0</v>
      </c>
      <c r="J283" s="16">
        <v>0</v>
      </c>
      <c r="K283" s="16">
        <v>0</v>
      </c>
      <c r="L283" s="16">
        <v>1</v>
      </c>
      <c r="M283" s="16">
        <v>1</v>
      </c>
      <c r="N283" s="16">
        <v>2</v>
      </c>
      <c r="O283" s="16">
        <v>2</v>
      </c>
      <c r="P283" t="s">
        <v>798</v>
      </c>
      <c r="Q283" t="s">
        <v>799</v>
      </c>
      <c r="AA283" s="8"/>
      <c r="AB283" s="8"/>
      <c r="AC283" s="8"/>
      <c r="AE283" s="8"/>
      <c r="AF283" s="8"/>
    </row>
    <row r="284" spans="1:32" x14ac:dyDescent="0.15">
      <c r="A284" t="s">
        <v>2011</v>
      </c>
      <c r="B284" t="s">
        <v>2012</v>
      </c>
      <c r="C284" s="8" t="s">
        <v>155</v>
      </c>
      <c r="D284">
        <v>9.5299999999999994</v>
      </c>
      <c r="E284">
        <v>3.04</v>
      </c>
      <c r="F284" t="s">
        <v>2109</v>
      </c>
      <c r="G284" s="16">
        <v>3</v>
      </c>
      <c r="H284" s="16">
        <v>6</v>
      </c>
      <c r="I284" s="16">
        <v>2</v>
      </c>
      <c r="J284" s="16">
        <v>2</v>
      </c>
      <c r="K284" s="16">
        <v>2</v>
      </c>
      <c r="L284" s="16">
        <v>1</v>
      </c>
      <c r="M284" s="16">
        <v>2</v>
      </c>
      <c r="N284" s="16">
        <v>2</v>
      </c>
      <c r="O284" s="16">
        <v>2</v>
      </c>
      <c r="P284" t="s">
        <v>1402</v>
      </c>
      <c r="Q284" t="s">
        <v>1613</v>
      </c>
      <c r="R284" t="s">
        <v>2315</v>
      </c>
      <c r="AA284" s="8"/>
      <c r="AB284" s="8"/>
      <c r="AC284" s="8"/>
      <c r="AE284" s="8"/>
      <c r="AF284" s="8"/>
    </row>
    <row r="285" spans="1:32" x14ac:dyDescent="0.15">
      <c r="A285" t="s">
        <v>1593</v>
      </c>
      <c r="B285" t="s">
        <v>1594</v>
      </c>
      <c r="C285" s="8" t="s">
        <v>163</v>
      </c>
      <c r="D285">
        <v>5.87</v>
      </c>
      <c r="E285">
        <v>2.94</v>
      </c>
      <c r="F285" t="s">
        <v>1972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1</v>
      </c>
      <c r="N285" s="16">
        <v>1</v>
      </c>
      <c r="O285" s="16">
        <v>2</v>
      </c>
      <c r="P285" t="s">
        <v>978</v>
      </c>
      <c r="Q285" t="s">
        <v>1123</v>
      </c>
      <c r="AA285" s="8"/>
      <c r="AB285" s="8"/>
      <c r="AC285" s="8"/>
      <c r="AE285" s="8"/>
      <c r="AF285" s="8"/>
    </row>
    <row r="286" spans="1:32" x14ac:dyDescent="0.15">
      <c r="A286" t="s">
        <v>639</v>
      </c>
      <c r="B286" t="s">
        <v>800</v>
      </c>
      <c r="C286" s="8" t="s">
        <v>163</v>
      </c>
      <c r="D286">
        <f>0.42*8.2</f>
        <v>3.4439999999999995</v>
      </c>
      <c r="E286">
        <f>0.42*3.35</f>
        <v>1.407</v>
      </c>
      <c r="F286" t="s">
        <v>636</v>
      </c>
      <c r="G286" s="16">
        <v>0</v>
      </c>
      <c r="H286" s="16">
        <v>1</v>
      </c>
      <c r="I286" s="16">
        <v>1</v>
      </c>
      <c r="J286" s="16">
        <v>0</v>
      </c>
      <c r="K286" s="16">
        <v>0</v>
      </c>
      <c r="L286" s="16">
        <v>0</v>
      </c>
      <c r="M286" s="16">
        <v>1</v>
      </c>
      <c r="N286" s="16">
        <v>2</v>
      </c>
      <c r="O286" s="16">
        <v>2</v>
      </c>
      <c r="P286" t="s">
        <v>798</v>
      </c>
      <c r="Q286" t="s">
        <v>637</v>
      </c>
      <c r="R286" t="s">
        <v>2236</v>
      </c>
      <c r="AA286" s="8"/>
      <c r="AB286" s="8"/>
      <c r="AC286" s="8"/>
      <c r="AE286" s="8"/>
      <c r="AF286" s="8"/>
    </row>
    <row r="287" spans="1:32" x14ac:dyDescent="0.15">
      <c r="A287" t="s">
        <v>1120</v>
      </c>
      <c r="B287" t="s">
        <v>1121</v>
      </c>
      <c r="C287" s="8" t="s">
        <v>163</v>
      </c>
      <c r="D287">
        <v>2.92</v>
      </c>
      <c r="E287">
        <v>1.19</v>
      </c>
      <c r="F287" t="s">
        <v>1973</v>
      </c>
      <c r="G287" s="16">
        <v>0</v>
      </c>
      <c r="H287" s="16">
        <v>0</v>
      </c>
      <c r="I287" s="16">
        <v>0</v>
      </c>
      <c r="J287" s="16">
        <v>2</v>
      </c>
      <c r="K287" s="16">
        <v>1</v>
      </c>
      <c r="L287" s="16">
        <v>0</v>
      </c>
      <c r="M287" s="16">
        <v>2</v>
      </c>
      <c r="N287" s="16">
        <v>2</v>
      </c>
      <c r="O287" s="16">
        <v>2</v>
      </c>
      <c r="P287" t="s">
        <v>1088</v>
      </c>
      <c r="Q287" t="s">
        <v>1089</v>
      </c>
      <c r="AA287" s="8"/>
      <c r="AB287" s="8"/>
      <c r="AC287" s="8"/>
      <c r="AE287" s="8"/>
      <c r="AF287" s="8"/>
    </row>
    <row r="288" spans="1:32" x14ac:dyDescent="0.15">
      <c r="A288" t="s">
        <v>1079</v>
      </c>
      <c r="B288" t="s">
        <v>1080</v>
      </c>
      <c r="C288" s="8" t="s">
        <v>163</v>
      </c>
      <c r="D288">
        <v>3.44</v>
      </c>
      <c r="E288">
        <v>1.65</v>
      </c>
      <c r="F288" t="s">
        <v>2191</v>
      </c>
      <c r="G288" s="16">
        <v>0</v>
      </c>
      <c r="H288" s="16">
        <v>3</v>
      </c>
      <c r="I288" s="16">
        <v>1</v>
      </c>
      <c r="J288" s="16">
        <v>2</v>
      </c>
      <c r="K288" s="16">
        <v>2</v>
      </c>
      <c r="L288" s="16">
        <v>0</v>
      </c>
      <c r="M288" s="16">
        <v>2</v>
      </c>
      <c r="N288" s="16">
        <v>2</v>
      </c>
      <c r="O288" s="16">
        <v>2</v>
      </c>
      <c r="P288" t="s">
        <v>1081</v>
      </c>
      <c r="Q288" t="s">
        <v>1082</v>
      </c>
      <c r="AA288" s="8"/>
      <c r="AB288" s="8"/>
      <c r="AC288" s="8"/>
      <c r="AE288" s="8"/>
      <c r="AF288" s="8"/>
    </row>
    <row r="289" spans="1:32" x14ac:dyDescent="0.15">
      <c r="A289" t="s">
        <v>1106</v>
      </c>
      <c r="B289" t="s">
        <v>1107</v>
      </c>
      <c r="C289" s="8" t="s">
        <v>163</v>
      </c>
      <c r="D289">
        <v>2.08</v>
      </c>
      <c r="E289">
        <v>0.6</v>
      </c>
      <c r="F289" t="s">
        <v>1816</v>
      </c>
      <c r="G289" s="16">
        <v>1</v>
      </c>
      <c r="H289" s="16">
        <v>6</v>
      </c>
      <c r="I289" s="16">
        <v>2</v>
      </c>
      <c r="J289" s="16">
        <v>2</v>
      </c>
      <c r="K289" s="16">
        <v>2</v>
      </c>
      <c r="L289" s="16">
        <v>0</v>
      </c>
      <c r="M289" s="16">
        <v>1</v>
      </c>
      <c r="N289" s="16">
        <v>2</v>
      </c>
      <c r="O289" s="16">
        <v>2</v>
      </c>
      <c r="P289" t="s">
        <v>802</v>
      </c>
      <c r="Q289" t="s">
        <v>889</v>
      </c>
      <c r="AA289" s="8"/>
      <c r="AB289" s="8"/>
      <c r="AC289" s="8"/>
      <c r="AE289" s="8"/>
      <c r="AF289" s="8"/>
    </row>
    <row r="290" spans="1:32" x14ac:dyDescent="0.15">
      <c r="A290" t="s">
        <v>896</v>
      </c>
      <c r="B290" t="s">
        <v>1107</v>
      </c>
      <c r="C290" s="8" t="s">
        <v>163</v>
      </c>
      <c r="D290">
        <v>4.1100000000000003</v>
      </c>
      <c r="E290">
        <v>1.84</v>
      </c>
      <c r="F290" t="s">
        <v>2290</v>
      </c>
      <c r="G290" s="16">
        <v>2</v>
      </c>
      <c r="H290" s="16">
        <v>0</v>
      </c>
      <c r="I290" s="16">
        <v>0</v>
      </c>
      <c r="J290" s="16">
        <v>2</v>
      </c>
      <c r="K290" s="16">
        <v>2</v>
      </c>
      <c r="L290" s="16">
        <v>0</v>
      </c>
      <c r="M290" s="16">
        <v>1</v>
      </c>
      <c r="N290" s="16">
        <v>3</v>
      </c>
      <c r="O290" s="16">
        <v>2</v>
      </c>
      <c r="P290" t="s">
        <v>802</v>
      </c>
      <c r="Q290" t="s">
        <v>889</v>
      </c>
      <c r="AA290" s="8"/>
      <c r="AB290" s="8"/>
      <c r="AC290" s="8"/>
      <c r="AE290" s="8"/>
      <c r="AF290" s="8"/>
    </row>
    <row r="291" spans="1:32" x14ac:dyDescent="0.15">
      <c r="A291" t="s">
        <v>987</v>
      </c>
      <c r="B291" t="s">
        <v>988</v>
      </c>
      <c r="C291" s="8" t="s">
        <v>163</v>
      </c>
      <c r="D291">
        <v>3.52</v>
      </c>
      <c r="E291">
        <v>1.32</v>
      </c>
      <c r="F291" t="s">
        <v>2086</v>
      </c>
      <c r="G291" s="16">
        <v>0</v>
      </c>
      <c r="H291" s="16">
        <v>4</v>
      </c>
      <c r="I291" s="16">
        <v>2</v>
      </c>
      <c r="J291" s="16">
        <v>2</v>
      </c>
      <c r="K291" s="16">
        <v>2</v>
      </c>
      <c r="L291" s="16">
        <v>0</v>
      </c>
      <c r="M291" s="16">
        <v>1</v>
      </c>
      <c r="N291" s="16">
        <v>2</v>
      </c>
      <c r="O291" s="16">
        <v>2</v>
      </c>
      <c r="P291" t="s">
        <v>802</v>
      </c>
      <c r="Q291" t="s">
        <v>730</v>
      </c>
      <c r="R291" t="s">
        <v>2268</v>
      </c>
      <c r="AA291" s="8"/>
      <c r="AB291" s="8"/>
      <c r="AC291" s="8"/>
      <c r="AE291" s="8"/>
      <c r="AF291" s="8"/>
    </row>
    <row r="292" spans="1:32" x14ac:dyDescent="0.15">
      <c r="A292" t="s">
        <v>920</v>
      </c>
      <c r="B292" t="s">
        <v>1107</v>
      </c>
      <c r="C292" s="8" t="s">
        <v>163</v>
      </c>
      <c r="D292">
        <v>5.71</v>
      </c>
      <c r="E292">
        <v>1.46</v>
      </c>
      <c r="F292" t="s">
        <v>1819</v>
      </c>
      <c r="G292" s="16">
        <v>0</v>
      </c>
      <c r="H292" s="16">
        <v>3</v>
      </c>
      <c r="I292" s="16">
        <v>1</v>
      </c>
      <c r="J292" s="16">
        <v>0</v>
      </c>
      <c r="K292" s="16">
        <v>0</v>
      </c>
      <c r="L292" s="16">
        <v>0</v>
      </c>
      <c r="M292" s="16">
        <v>1</v>
      </c>
      <c r="N292" s="16">
        <v>3</v>
      </c>
      <c r="O292" s="16">
        <v>2</v>
      </c>
      <c r="P292" t="s">
        <v>802</v>
      </c>
      <c r="Q292" t="s">
        <v>730</v>
      </c>
      <c r="AA292" s="8"/>
      <c r="AB292" s="8"/>
      <c r="AC292" s="8"/>
      <c r="AE292" s="8"/>
      <c r="AF292" s="8"/>
    </row>
    <row r="293" spans="1:32" x14ac:dyDescent="0.15">
      <c r="A293" t="s">
        <v>1651</v>
      </c>
      <c r="B293" t="s">
        <v>1587</v>
      </c>
      <c r="C293" s="8" t="s">
        <v>163</v>
      </c>
      <c r="D293">
        <v>5.15</v>
      </c>
      <c r="E293">
        <v>1.69</v>
      </c>
      <c r="F293" t="s">
        <v>2041</v>
      </c>
      <c r="G293" s="16">
        <v>0</v>
      </c>
      <c r="H293" s="16">
        <v>5</v>
      </c>
      <c r="I293" s="16">
        <v>2</v>
      </c>
      <c r="J293" s="16">
        <v>2</v>
      </c>
      <c r="K293" s="16">
        <v>1</v>
      </c>
      <c r="L293" s="16">
        <v>0</v>
      </c>
      <c r="M293" s="16">
        <v>1</v>
      </c>
      <c r="N293" s="16">
        <v>2</v>
      </c>
      <c r="O293" s="16">
        <v>2</v>
      </c>
      <c r="P293" t="s">
        <v>1393</v>
      </c>
      <c r="Q293" t="s">
        <v>1313</v>
      </c>
      <c r="R293" t="s">
        <v>2083</v>
      </c>
      <c r="AA293" s="8"/>
      <c r="AB293" s="8"/>
      <c r="AC293" s="8"/>
      <c r="AE293" s="8"/>
      <c r="AF293" s="8"/>
    </row>
    <row r="294" spans="1:32" x14ac:dyDescent="0.15">
      <c r="A294" t="s">
        <v>1639</v>
      </c>
      <c r="B294" t="s">
        <v>1587</v>
      </c>
      <c r="C294" s="8" t="s">
        <v>163</v>
      </c>
      <c r="D294">
        <v>4.51</v>
      </c>
      <c r="E294">
        <v>1.9</v>
      </c>
      <c r="F294" t="s">
        <v>2103</v>
      </c>
      <c r="G294" s="16">
        <v>2</v>
      </c>
      <c r="H294" s="16">
        <v>4</v>
      </c>
      <c r="I294" s="16">
        <v>2</v>
      </c>
      <c r="J294" s="16">
        <v>2</v>
      </c>
      <c r="K294" s="16">
        <v>1</v>
      </c>
      <c r="L294" s="16">
        <v>0</v>
      </c>
      <c r="M294" s="16">
        <v>2</v>
      </c>
      <c r="N294" s="16">
        <v>3</v>
      </c>
      <c r="O294" s="16">
        <v>2</v>
      </c>
      <c r="P294" t="s">
        <v>1393</v>
      </c>
      <c r="Q294" t="s">
        <v>1613</v>
      </c>
      <c r="R294" t="s">
        <v>2136</v>
      </c>
      <c r="AA294" s="8"/>
      <c r="AB294" s="8"/>
      <c r="AC294" s="8"/>
      <c r="AE294" s="8"/>
      <c r="AF294" s="8"/>
    </row>
    <row r="295" spans="1:32" x14ac:dyDescent="0.15">
      <c r="A295" t="s">
        <v>1833</v>
      </c>
      <c r="B295" t="s">
        <v>1587</v>
      </c>
      <c r="C295" s="8" t="s">
        <v>163</v>
      </c>
      <c r="D295">
        <v>3.39</v>
      </c>
      <c r="E295">
        <v>1.39</v>
      </c>
      <c r="F295" t="s">
        <v>1743</v>
      </c>
      <c r="G295" s="16">
        <v>3</v>
      </c>
      <c r="H295" s="16">
        <v>2</v>
      </c>
      <c r="I295" s="16">
        <v>1</v>
      </c>
      <c r="J295" s="16">
        <v>2</v>
      </c>
      <c r="K295" s="16">
        <v>2</v>
      </c>
      <c r="L295" s="16">
        <v>0</v>
      </c>
      <c r="M295" s="16">
        <v>2</v>
      </c>
      <c r="N295" s="16">
        <v>3</v>
      </c>
      <c r="O295" s="16">
        <v>2</v>
      </c>
      <c r="P295" t="s">
        <v>1393</v>
      </c>
      <c r="Q295" t="s">
        <v>1613</v>
      </c>
      <c r="AA295" s="8"/>
      <c r="AB295" s="8"/>
      <c r="AC295" s="8"/>
      <c r="AE295" s="8"/>
      <c r="AF295" s="8"/>
    </row>
    <row r="296" spans="1:32" x14ac:dyDescent="0.15">
      <c r="A296" t="s">
        <v>664</v>
      </c>
      <c r="B296" t="s">
        <v>741</v>
      </c>
      <c r="C296" s="8" t="s">
        <v>163</v>
      </c>
      <c r="D296">
        <f>11.24*0.43</f>
        <v>4.8331999999999997</v>
      </c>
      <c r="E296">
        <f>3.86*0.43</f>
        <v>1.6597999999999999</v>
      </c>
      <c r="F296" t="s">
        <v>824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1</v>
      </c>
      <c r="N296" s="16">
        <v>2</v>
      </c>
      <c r="O296" s="16">
        <v>2</v>
      </c>
      <c r="P296" t="s">
        <v>798</v>
      </c>
      <c r="Q296" t="s">
        <v>637</v>
      </c>
      <c r="R296" t="s">
        <v>2333</v>
      </c>
      <c r="AA296" s="8"/>
      <c r="AB296" s="8"/>
      <c r="AC296" s="8"/>
      <c r="AE296" s="8"/>
      <c r="AF296" s="8"/>
    </row>
    <row r="297" spans="1:32" x14ac:dyDescent="0.15">
      <c r="A297" t="s">
        <v>680</v>
      </c>
      <c r="B297" t="s">
        <v>741</v>
      </c>
      <c r="C297" s="8" t="s">
        <v>163</v>
      </c>
      <c r="D297">
        <v>2.68</v>
      </c>
      <c r="E297">
        <v>0.93</v>
      </c>
      <c r="F297" t="s">
        <v>681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1</v>
      </c>
      <c r="N297" s="16">
        <v>2</v>
      </c>
      <c r="O297" s="16">
        <v>2</v>
      </c>
      <c r="P297" t="s">
        <v>798</v>
      </c>
      <c r="Q297" t="s">
        <v>637</v>
      </c>
      <c r="R297" t="s">
        <v>2381</v>
      </c>
      <c r="AA297" s="8"/>
      <c r="AB297" s="8"/>
      <c r="AC297" s="8"/>
      <c r="AE297" s="8"/>
      <c r="AF297" s="8"/>
    </row>
    <row r="298" spans="1:32" x14ac:dyDescent="0.15">
      <c r="A298" t="s">
        <v>568</v>
      </c>
      <c r="B298" t="s">
        <v>569</v>
      </c>
      <c r="C298" s="8" t="s">
        <v>163</v>
      </c>
      <c r="D298">
        <f>0.42*8.62</f>
        <v>3.6203999999999996</v>
      </c>
      <c r="E298">
        <f>0.42*3.69</f>
        <v>1.5497999999999998</v>
      </c>
      <c r="F298" t="s">
        <v>570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1</v>
      </c>
      <c r="N298" s="16">
        <v>2</v>
      </c>
      <c r="O298" s="16">
        <v>2</v>
      </c>
      <c r="P298" t="s">
        <v>798</v>
      </c>
      <c r="Q298" t="s">
        <v>637</v>
      </c>
      <c r="AA298" s="8"/>
      <c r="AB298" s="8"/>
      <c r="AC298" s="8"/>
      <c r="AE298" s="8"/>
      <c r="AF298" s="8"/>
    </row>
    <row r="299" spans="1:32" x14ac:dyDescent="0.15">
      <c r="A299" t="s">
        <v>1588</v>
      </c>
      <c r="B299" t="s">
        <v>1589</v>
      </c>
      <c r="C299" s="8" t="s">
        <v>163</v>
      </c>
      <c r="D299">
        <v>2.38</v>
      </c>
      <c r="E299">
        <v>1.19</v>
      </c>
      <c r="F299" t="s">
        <v>1815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1</v>
      </c>
      <c r="N299" s="16">
        <v>2</v>
      </c>
      <c r="O299" s="16">
        <v>2</v>
      </c>
      <c r="P299" t="s">
        <v>1529</v>
      </c>
      <c r="Q299" t="s">
        <v>1530</v>
      </c>
      <c r="AA299" s="8"/>
      <c r="AB299" s="8"/>
      <c r="AC299" s="8"/>
      <c r="AE299" s="8"/>
      <c r="AF299" s="8"/>
    </row>
    <row r="300" spans="1:32" x14ac:dyDescent="0.15">
      <c r="A300" t="s">
        <v>951</v>
      </c>
      <c r="B300" t="s">
        <v>952</v>
      </c>
      <c r="C300" s="8" t="s">
        <v>163</v>
      </c>
      <c r="D300">
        <v>1.77</v>
      </c>
      <c r="E300">
        <v>0.42</v>
      </c>
      <c r="F300" t="s">
        <v>1668</v>
      </c>
      <c r="G300" s="16">
        <v>2</v>
      </c>
      <c r="H300" s="16">
        <v>0</v>
      </c>
      <c r="I300" s="16">
        <v>0</v>
      </c>
      <c r="J300" s="16">
        <v>1</v>
      </c>
      <c r="K300" s="16">
        <v>1</v>
      </c>
      <c r="L300" s="16">
        <v>0</v>
      </c>
      <c r="M300" s="16">
        <v>1</v>
      </c>
      <c r="N300" s="16">
        <v>1</v>
      </c>
      <c r="O300" s="16">
        <v>2</v>
      </c>
      <c r="P300" t="s">
        <v>802</v>
      </c>
      <c r="Q300" t="s">
        <v>889</v>
      </c>
      <c r="R300" t="s">
        <v>2003</v>
      </c>
      <c r="AA300" s="8"/>
      <c r="AB300" s="8"/>
      <c r="AC300" s="8"/>
      <c r="AE300" s="8"/>
      <c r="AF300" s="8"/>
    </row>
    <row r="301" spans="1:32" x14ac:dyDescent="0.15">
      <c r="A301" t="s">
        <v>839</v>
      </c>
      <c r="B301" t="s">
        <v>952</v>
      </c>
      <c r="C301" s="8" t="s">
        <v>163</v>
      </c>
      <c r="D301">
        <v>3.01</v>
      </c>
      <c r="E301">
        <v>1.07</v>
      </c>
      <c r="F301" t="s">
        <v>1818</v>
      </c>
      <c r="G301" s="16">
        <v>0</v>
      </c>
      <c r="H301" s="16">
        <v>4</v>
      </c>
      <c r="I301" s="16">
        <v>2</v>
      </c>
      <c r="J301" s="16">
        <v>2</v>
      </c>
      <c r="K301" s="16">
        <v>2</v>
      </c>
      <c r="L301" s="16">
        <v>0</v>
      </c>
      <c r="M301" s="16">
        <v>1</v>
      </c>
      <c r="N301" s="16">
        <v>1</v>
      </c>
      <c r="O301" s="16">
        <v>2</v>
      </c>
      <c r="P301" t="s">
        <v>802</v>
      </c>
      <c r="Q301" t="s">
        <v>730</v>
      </c>
      <c r="AA301" s="8"/>
      <c r="AB301" s="8"/>
      <c r="AC301" s="8"/>
      <c r="AE301" s="8"/>
      <c r="AF301" s="8"/>
    </row>
    <row r="302" spans="1:32" x14ac:dyDescent="0.15">
      <c r="A302" t="s">
        <v>1813</v>
      </c>
      <c r="B302" t="s">
        <v>2491</v>
      </c>
      <c r="C302" s="8" t="s">
        <v>167</v>
      </c>
      <c r="D302">
        <v>4.28</v>
      </c>
      <c r="E302">
        <v>3.08</v>
      </c>
      <c r="F302" t="s">
        <v>1652</v>
      </c>
      <c r="G302" s="16">
        <v>0</v>
      </c>
      <c r="H302" s="16">
        <v>4</v>
      </c>
      <c r="I302" s="16">
        <v>2</v>
      </c>
      <c r="J302" s="16">
        <v>0</v>
      </c>
      <c r="K302" s="16">
        <v>0</v>
      </c>
      <c r="L302" s="16">
        <v>0</v>
      </c>
      <c r="M302" s="16">
        <v>0</v>
      </c>
      <c r="N302" s="16">
        <v>3</v>
      </c>
      <c r="O302" s="16">
        <v>2</v>
      </c>
      <c r="P302" t="s">
        <v>1393</v>
      </c>
      <c r="Q302" t="s">
        <v>1313</v>
      </c>
      <c r="AA302" s="8"/>
      <c r="AB302" s="8"/>
      <c r="AC302" s="8"/>
      <c r="AE302" s="8"/>
      <c r="AF302" s="8"/>
    </row>
    <row r="303" spans="1:32" x14ac:dyDescent="0.15">
      <c r="A303" t="s">
        <v>792</v>
      </c>
      <c r="B303" t="s">
        <v>868</v>
      </c>
      <c r="C303" s="8" t="s">
        <v>163</v>
      </c>
      <c r="D303">
        <v>2.48</v>
      </c>
      <c r="E303">
        <v>1.1299999999999999</v>
      </c>
      <c r="F303" t="s">
        <v>869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1</v>
      </c>
      <c r="M303" s="16">
        <v>1</v>
      </c>
      <c r="N303" s="16">
        <v>2</v>
      </c>
      <c r="O303" s="16">
        <v>2</v>
      </c>
      <c r="P303" t="s">
        <v>798</v>
      </c>
      <c r="Q303" t="s">
        <v>637</v>
      </c>
      <c r="R303" t="s">
        <v>2345</v>
      </c>
      <c r="AA303" s="8"/>
      <c r="AB303" s="8"/>
      <c r="AC303" s="8"/>
      <c r="AE303" s="8"/>
      <c r="AF303" s="8"/>
    </row>
    <row r="304" spans="1:32" x14ac:dyDescent="0.15">
      <c r="A304" t="s">
        <v>606</v>
      </c>
      <c r="B304" t="s">
        <v>607</v>
      </c>
      <c r="C304" s="8" t="s">
        <v>163</v>
      </c>
      <c r="D304">
        <v>2.2000000000000002</v>
      </c>
      <c r="E304">
        <v>1.35</v>
      </c>
      <c r="F304" t="s">
        <v>608</v>
      </c>
      <c r="G304" s="16">
        <v>1</v>
      </c>
      <c r="H304" s="16">
        <v>0</v>
      </c>
      <c r="I304" s="16">
        <v>0</v>
      </c>
      <c r="J304" s="16">
        <v>0</v>
      </c>
      <c r="K304" s="16">
        <v>0</v>
      </c>
      <c r="L304" s="16">
        <v>1</v>
      </c>
      <c r="M304" s="16">
        <v>1</v>
      </c>
      <c r="N304" s="16">
        <v>2</v>
      </c>
      <c r="O304" s="16">
        <v>2</v>
      </c>
      <c r="P304" t="s">
        <v>798</v>
      </c>
      <c r="Q304" t="s">
        <v>799</v>
      </c>
      <c r="AA304" s="8"/>
      <c r="AB304" s="8"/>
      <c r="AC304" s="8"/>
      <c r="AE304" s="8"/>
      <c r="AF304" s="8"/>
    </row>
    <row r="305" spans="1:32" x14ac:dyDescent="0.15">
      <c r="A305" t="s">
        <v>1198</v>
      </c>
      <c r="B305" t="s">
        <v>1131</v>
      </c>
      <c r="C305" s="8" t="s">
        <v>160</v>
      </c>
      <c r="D305">
        <v>5.05</v>
      </c>
      <c r="E305">
        <v>1.41</v>
      </c>
      <c r="F305" t="s">
        <v>791</v>
      </c>
      <c r="G305" s="16">
        <v>0</v>
      </c>
      <c r="H305" s="16">
        <v>5</v>
      </c>
      <c r="I305" s="16">
        <v>2</v>
      </c>
      <c r="J305" s="16">
        <v>2</v>
      </c>
      <c r="K305" s="16">
        <v>1</v>
      </c>
      <c r="L305" s="16">
        <v>0</v>
      </c>
      <c r="M305" s="16">
        <v>1</v>
      </c>
      <c r="N305" s="16">
        <v>3</v>
      </c>
      <c r="O305" s="16">
        <v>2</v>
      </c>
      <c r="P305" t="s">
        <v>1088</v>
      </c>
      <c r="Q305" t="s">
        <v>1089</v>
      </c>
      <c r="R305" t="s">
        <v>2106</v>
      </c>
      <c r="AA305" s="8"/>
      <c r="AB305" s="8"/>
      <c r="AC305" s="8"/>
      <c r="AE305" s="8"/>
      <c r="AF305" s="8"/>
    </row>
    <row r="306" spans="1:32" x14ac:dyDescent="0.15">
      <c r="A306" t="s">
        <v>1273</v>
      </c>
      <c r="B306" t="s">
        <v>1131</v>
      </c>
      <c r="C306" s="8" t="s">
        <v>160</v>
      </c>
      <c r="D306">
        <v>1.98</v>
      </c>
      <c r="E306">
        <v>0.55000000000000004</v>
      </c>
      <c r="F306" t="s">
        <v>860</v>
      </c>
      <c r="G306" s="16">
        <v>3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1</v>
      </c>
      <c r="N306" s="16">
        <v>1</v>
      </c>
      <c r="O306" s="16">
        <v>2</v>
      </c>
      <c r="P306" t="s">
        <v>1271</v>
      </c>
      <c r="Q306" t="s">
        <v>1272</v>
      </c>
      <c r="AA306" s="8"/>
      <c r="AB306" s="8"/>
      <c r="AC306" s="8"/>
      <c r="AE306" s="8"/>
      <c r="AF306" s="8"/>
    </row>
    <row r="307" spans="1:32" x14ac:dyDescent="0.15">
      <c r="A307" t="s">
        <v>1556</v>
      </c>
      <c r="B307" t="s">
        <v>1563</v>
      </c>
      <c r="C307" s="8" t="s">
        <v>160</v>
      </c>
      <c r="D307">
        <v>3.32</v>
      </c>
      <c r="E307">
        <v>0.8</v>
      </c>
      <c r="F307" t="s">
        <v>863</v>
      </c>
      <c r="G307" s="16">
        <v>0</v>
      </c>
      <c r="H307" s="16">
        <v>4</v>
      </c>
      <c r="I307" s="16">
        <v>1</v>
      </c>
      <c r="J307" s="16">
        <v>1</v>
      </c>
      <c r="K307" s="16">
        <v>1</v>
      </c>
      <c r="L307" s="16">
        <v>1</v>
      </c>
      <c r="M307" s="16">
        <v>1</v>
      </c>
      <c r="N307" s="16">
        <v>1</v>
      </c>
      <c r="O307" s="16">
        <v>2</v>
      </c>
      <c r="P307" t="s">
        <v>1552</v>
      </c>
      <c r="Q307" t="s">
        <v>1553</v>
      </c>
      <c r="AA307" s="8"/>
      <c r="AB307" s="8"/>
      <c r="AC307" s="8"/>
      <c r="AE307" s="8"/>
      <c r="AF307" s="8"/>
    </row>
    <row r="308" spans="1:32" x14ac:dyDescent="0.15">
      <c r="A308" t="s">
        <v>810</v>
      </c>
      <c r="B308" t="s">
        <v>811</v>
      </c>
      <c r="C308" s="8" t="s">
        <v>160</v>
      </c>
      <c r="D308">
        <v>1.38</v>
      </c>
      <c r="E308">
        <v>0.46</v>
      </c>
      <c r="F308" t="s">
        <v>1883</v>
      </c>
      <c r="G308" s="16">
        <v>3</v>
      </c>
      <c r="H308" s="16">
        <v>0</v>
      </c>
      <c r="I308" s="16">
        <v>0</v>
      </c>
      <c r="J308" s="16">
        <v>2</v>
      </c>
      <c r="K308" s="16">
        <v>1</v>
      </c>
      <c r="L308" s="16">
        <v>0</v>
      </c>
      <c r="M308" s="16">
        <v>1</v>
      </c>
      <c r="N308" s="16">
        <v>2</v>
      </c>
      <c r="O308" s="16">
        <v>2</v>
      </c>
      <c r="P308" t="s">
        <v>1111</v>
      </c>
      <c r="Q308" t="s">
        <v>812</v>
      </c>
      <c r="AA308" s="8"/>
      <c r="AB308" s="8"/>
      <c r="AC308" s="8"/>
      <c r="AE308" s="8"/>
      <c r="AF308" s="8"/>
    </row>
    <row r="309" spans="1:32" x14ac:dyDescent="0.15">
      <c r="A309" t="s">
        <v>1685</v>
      </c>
      <c r="B309" t="s">
        <v>1686</v>
      </c>
      <c r="C309" s="8" t="s">
        <v>160</v>
      </c>
      <c r="D309">
        <v>1.68</v>
      </c>
      <c r="E309">
        <v>0.48</v>
      </c>
      <c r="F309" t="s">
        <v>862</v>
      </c>
      <c r="G309" s="16">
        <v>1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1</v>
      </c>
      <c r="N309" s="16">
        <v>2</v>
      </c>
      <c r="O309" s="16">
        <v>1</v>
      </c>
      <c r="P309" t="s">
        <v>1529</v>
      </c>
      <c r="Q309" t="s">
        <v>1624</v>
      </c>
      <c r="AA309" s="8"/>
      <c r="AB309" s="8"/>
      <c r="AC309" s="8"/>
      <c r="AE309" s="8"/>
      <c r="AF309" s="8"/>
    </row>
    <row r="310" spans="1:32" x14ac:dyDescent="0.15">
      <c r="A310" t="s">
        <v>2052</v>
      </c>
      <c r="B310" t="s">
        <v>990</v>
      </c>
      <c r="C310" s="8" t="s">
        <v>160</v>
      </c>
      <c r="D310">
        <v>1.62</v>
      </c>
      <c r="E310">
        <v>0.53</v>
      </c>
      <c r="F310" t="s">
        <v>864</v>
      </c>
      <c r="G310" s="16">
        <v>3</v>
      </c>
      <c r="H310" s="16">
        <v>0</v>
      </c>
      <c r="I310" s="16">
        <v>0</v>
      </c>
      <c r="J310" s="16">
        <v>2</v>
      </c>
      <c r="K310" s="16">
        <v>2</v>
      </c>
      <c r="L310" s="16">
        <v>1</v>
      </c>
      <c r="M310" s="16">
        <v>1</v>
      </c>
      <c r="N310" s="16">
        <v>2</v>
      </c>
      <c r="O310" s="16">
        <v>2</v>
      </c>
      <c r="P310" t="s">
        <v>885</v>
      </c>
      <c r="Q310" t="s">
        <v>886</v>
      </c>
      <c r="R310" t="s">
        <v>2054</v>
      </c>
      <c r="AA310" s="8"/>
      <c r="AB310" s="8"/>
      <c r="AC310" s="8"/>
      <c r="AE310" s="8"/>
      <c r="AF310" s="8"/>
    </row>
    <row r="311" spans="1:32" x14ac:dyDescent="0.15">
      <c r="A311" t="s">
        <v>2053</v>
      </c>
      <c r="B311" t="s">
        <v>990</v>
      </c>
      <c r="C311" s="8" t="s">
        <v>160</v>
      </c>
      <c r="D311">
        <v>1.18</v>
      </c>
      <c r="E311">
        <v>0.38</v>
      </c>
      <c r="F311" t="s">
        <v>865</v>
      </c>
      <c r="G311" s="16">
        <v>2</v>
      </c>
      <c r="H311" s="16">
        <v>0</v>
      </c>
      <c r="I311" s="16">
        <v>0</v>
      </c>
      <c r="J311" s="16">
        <v>2</v>
      </c>
      <c r="K311" s="16">
        <v>1</v>
      </c>
      <c r="L311" s="16">
        <v>1</v>
      </c>
      <c r="M311" s="16">
        <v>1</v>
      </c>
      <c r="N311" s="16">
        <v>2</v>
      </c>
      <c r="O311" s="16">
        <v>1</v>
      </c>
      <c r="P311" t="s">
        <v>888</v>
      </c>
      <c r="Q311" t="s">
        <v>889</v>
      </c>
      <c r="R311" t="s">
        <v>1901</v>
      </c>
      <c r="AA311" s="8"/>
      <c r="AB311" s="8"/>
      <c r="AC311" s="8"/>
      <c r="AE311" s="8"/>
      <c r="AF311" s="8"/>
    </row>
    <row r="312" spans="1:32" x14ac:dyDescent="0.15">
      <c r="A312" t="s">
        <v>991</v>
      </c>
      <c r="B312" t="s">
        <v>992</v>
      </c>
      <c r="C312" s="8" t="s">
        <v>160</v>
      </c>
      <c r="D312">
        <v>1.29</v>
      </c>
      <c r="E312">
        <v>0.44</v>
      </c>
      <c r="F312" t="s">
        <v>1867</v>
      </c>
      <c r="G312" s="16">
        <v>0</v>
      </c>
      <c r="H312" s="16">
        <v>0</v>
      </c>
      <c r="I312" s="16">
        <v>0</v>
      </c>
      <c r="J312" s="16">
        <v>2</v>
      </c>
      <c r="K312" s="16">
        <v>1</v>
      </c>
      <c r="L312" s="16">
        <v>0</v>
      </c>
      <c r="M312" s="16">
        <v>1</v>
      </c>
      <c r="N312" s="16">
        <v>1</v>
      </c>
      <c r="O312" s="16">
        <v>2</v>
      </c>
      <c r="P312" t="s">
        <v>802</v>
      </c>
      <c r="Q312" t="s">
        <v>730</v>
      </c>
      <c r="R312" t="s">
        <v>1989</v>
      </c>
      <c r="AA312" s="8"/>
      <c r="AB312" s="8"/>
      <c r="AC312" s="8"/>
      <c r="AE312" s="8"/>
      <c r="AF312" s="8"/>
    </row>
    <row r="313" spans="1:32" x14ac:dyDescent="0.15">
      <c r="A313" t="s">
        <v>1025</v>
      </c>
      <c r="B313" t="s">
        <v>990</v>
      </c>
      <c r="C313" s="8" t="s">
        <v>160</v>
      </c>
      <c r="D313">
        <v>1.06</v>
      </c>
      <c r="E313">
        <v>0.39</v>
      </c>
      <c r="F313" t="s">
        <v>565</v>
      </c>
      <c r="G313" s="16">
        <v>0</v>
      </c>
      <c r="H313" s="16">
        <v>2</v>
      </c>
      <c r="I313" s="16">
        <v>1</v>
      </c>
      <c r="J313" s="16">
        <v>2</v>
      </c>
      <c r="K313" s="16">
        <v>2</v>
      </c>
      <c r="L313" s="16">
        <v>0</v>
      </c>
      <c r="M313" s="16">
        <v>1</v>
      </c>
      <c r="N313" s="16">
        <v>2</v>
      </c>
      <c r="O313" s="16">
        <v>1</v>
      </c>
      <c r="P313" t="s">
        <v>1026</v>
      </c>
      <c r="Q313" t="s">
        <v>733</v>
      </c>
      <c r="AA313" s="8"/>
      <c r="AB313" s="8"/>
      <c r="AC313" s="8"/>
      <c r="AE313" s="8"/>
      <c r="AF313" s="8"/>
    </row>
    <row r="314" spans="1:32" x14ac:dyDescent="0.15">
      <c r="A314" t="s">
        <v>837</v>
      </c>
      <c r="B314" t="s">
        <v>990</v>
      </c>
      <c r="C314" s="8" t="s">
        <v>160</v>
      </c>
      <c r="D314">
        <v>1.54</v>
      </c>
      <c r="E314">
        <v>0.62</v>
      </c>
      <c r="F314" t="s">
        <v>867</v>
      </c>
      <c r="G314" s="16">
        <v>3</v>
      </c>
      <c r="H314" s="16">
        <v>0</v>
      </c>
      <c r="I314" s="16">
        <v>0</v>
      </c>
      <c r="J314" s="16">
        <v>2</v>
      </c>
      <c r="K314" s="16">
        <v>2</v>
      </c>
      <c r="L314" s="16">
        <v>1</v>
      </c>
      <c r="M314" s="16">
        <v>1</v>
      </c>
      <c r="N314" s="16">
        <v>2</v>
      </c>
      <c r="O314" s="16">
        <v>3</v>
      </c>
      <c r="P314" t="s">
        <v>960</v>
      </c>
      <c r="Q314" t="s">
        <v>886</v>
      </c>
      <c r="AA314" s="8"/>
      <c r="AB314" s="8"/>
      <c r="AC314" s="8"/>
      <c r="AE314" s="8"/>
      <c r="AF314" s="8"/>
    </row>
    <row r="315" spans="1:32" x14ac:dyDescent="0.15">
      <c r="A315" t="s">
        <v>647</v>
      </c>
      <c r="B315" t="s">
        <v>992</v>
      </c>
      <c r="C315" s="8" t="s">
        <v>160</v>
      </c>
      <c r="D315">
        <v>2.82</v>
      </c>
      <c r="E315">
        <v>0.55000000000000004</v>
      </c>
      <c r="F315" t="s">
        <v>736</v>
      </c>
      <c r="G315" s="16">
        <v>3</v>
      </c>
      <c r="H315" s="16">
        <v>0</v>
      </c>
      <c r="I315" s="16">
        <v>0</v>
      </c>
      <c r="J315" s="16">
        <v>1</v>
      </c>
      <c r="K315" s="16">
        <v>1</v>
      </c>
      <c r="L315" s="16">
        <v>1</v>
      </c>
      <c r="M315" s="16">
        <v>1</v>
      </c>
      <c r="N315" s="16">
        <v>1</v>
      </c>
      <c r="O315" s="16">
        <v>2</v>
      </c>
      <c r="P315" t="s">
        <v>648</v>
      </c>
      <c r="Q315" t="s">
        <v>886</v>
      </c>
      <c r="R315" t="s">
        <v>2073</v>
      </c>
      <c r="AA315" s="8"/>
      <c r="AB315" s="8"/>
      <c r="AC315" s="8"/>
      <c r="AE315" s="8"/>
      <c r="AF315" s="8"/>
    </row>
    <row r="316" spans="1:32" x14ac:dyDescent="0.15">
      <c r="A316" t="s">
        <v>946</v>
      </c>
      <c r="B316" t="s">
        <v>990</v>
      </c>
      <c r="C316" s="8" t="s">
        <v>160</v>
      </c>
      <c r="D316">
        <v>2.48</v>
      </c>
      <c r="E316">
        <v>1.17</v>
      </c>
      <c r="F316" t="s">
        <v>2205</v>
      </c>
      <c r="G316" s="16">
        <v>0</v>
      </c>
      <c r="H316" s="16">
        <v>0</v>
      </c>
      <c r="I316" s="16">
        <v>0</v>
      </c>
      <c r="J316" s="16">
        <v>2</v>
      </c>
      <c r="K316" s="16">
        <v>2</v>
      </c>
      <c r="L316" s="16">
        <v>0</v>
      </c>
      <c r="M316" s="16">
        <v>1</v>
      </c>
      <c r="N316" s="16">
        <v>2</v>
      </c>
      <c r="O316" s="16">
        <v>1</v>
      </c>
      <c r="P316" t="s">
        <v>888</v>
      </c>
      <c r="Q316" t="s">
        <v>730</v>
      </c>
      <c r="AA316" s="8"/>
      <c r="AB316" s="8"/>
      <c r="AC316" s="8"/>
      <c r="AE316" s="8"/>
      <c r="AF316" s="8"/>
    </row>
    <row r="317" spans="1:32" x14ac:dyDescent="0.15">
      <c r="A317" t="s">
        <v>1534</v>
      </c>
      <c r="B317" t="s">
        <v>1535</v>
      </c>
      <c r="C317" s="8" t="s">
        <v>160</v>
      </c>
      <c r="D317">
        <v>2.13</v>
      </c>
      <c r="E317">
        <v>0.65</v>
      </c>
      <c r="F317" t="s">
        <v>818</v>
      </c>
      <c r="G317" s="16">
        <v>2</v>
      </c>
      <c r="H317" s="16">
        <v>0</v>
      </c>
      <c r="I317" s="16">
        <v>0</v>
      </c>
      <c r="J317" s="16">
        <v>1</v>
      </c>
      <c r="K317" s="16">
        <v>2</v>
      </c>
      <c r="L317" s="16">
        <v>0</v>
      </c>
      <c r="M317" s="16">
        <v>1</v>
      </c>
      <c r="N317" s="16">
        <v>3</v>
      </c>
      <c r="O317" s="16">
        <v>2</v>
      </c>
      <c r="P317" t="s">
        <v>1393</v>
      </c>
      <c r="Q317" t="s">
        <v>1613</v>
      </c>
      <c r="AA317" s="8"/>
      <c r="AB317" s="8"/>
      <c r="AC317" s="8"/>
      <c r="AE317" s="8"/>
      <c r="AF317" s="8"/>
    </row>
    <row r="318" spans="1:32" x14ac:dyDescent="0.15">
      <c r="A318" t="s">
        <v>1682</v>
      </c>
      <c r="B318" t="s">
        <v>1535</v>
      </c>
      <c r="C318" s="8" t="s">
        <v>160</v>
      </c>
      <c r="D318">
        <v>1.85</v>
      </c>
      <c r="E318">
        <v>0.65</v>
      </c>
      <c r="F318" t="s">
        <v>939</v>
      </c>
      <c r="G318" s="16">
        <v>3</v>
      </c>
      <c r="H318" s="16">
        <v>0</v>
      </c>
      <c r="I318" s="16">
        <v>0</v>
      </c>
      <c r="J318" s="16">
        <v>1</v>
      </c>
      <c r="K318" s="16">
        <v>1</v>
      </c>
      <c r="L318" s="16">
        <v>1</v>
      </c>
      <c r="M318" s="16">
        <v>1</v>
      </c>
      <c r="N318" s="16">
        <v>1</v>
      </c>
      <c r="O318" s="16">
        <v>1</v>
      </c>
      <c r="P318" t="s">
        <v>1616</v>
      </c>
      <c r="Q318" t="s">
        <v>1617</v>
      </c>
      <c r="R318" t="s">
        <v>1994</v>
      </c>
      <c r="AA318" s="8"/>
      <c r="AB318" s="8"/>
      <c r="AC318" s="8"/>
      <c r="AE318" s="8"/>
      <c r="AF318" s="8"/>
    </row>
    <row r="319" spans="1:32" x14ac:dyDescent="0.15">
      <c r="A319" t="s">
        <v>1575</v>
      </c>
      <c r="B319" t="s">
        <v>1576</v>
      </c>
      <c r="C319" s="8" t="s">
        <v>160</v>
      </c>
      <c r="D319">
        <v>8.2899999999999991</v>
      </c>
      <c r="E319">
        <v>2.19</v>
      </c>
      <c r="F319" t="s">
        <v>2045</v>
      </c>
      <c r="G319" s="16">
        <v>0</v>
      </c>
      <c r="H319" s="16">
        <v>6</v>
      </c>
      <c r="I319" s="16">
        <v>2</v>
      </c>
      <c r="J319" s="16">
        <v>2</v>
      </c>
      <c r="K319" s="16">
        <v>2</v>
      </c>
      <c r="L319" s="16">
        <v>0</v>
      </c>
      <c r="M319" s="16">
        <v>2</v>
      </c>
      <c r="N319" s="16">
        <v>2</v>
      </c>
      <c r="O319" s="16">
        <v>2</v>
      </c>
      <c r="P319" t="s">
        <v>1393</v>
      </c>
      <c r="Q319" t="s">
        <v>1313</v>
      </c>
      <c r="AA319" s="8"/>
      <c r="AB319" s="8"/>
      <c r="AC319" s="8"/>
      <c r="AE319" s="8"/>
      <c r="AF319" s="8"/>
    </row>
    <row r="320" spans="1:32" x14ac:dyDescent="0.15">
      <c r="A320" t="s">
        <v>1729</v>
      </c>
      <c r="B320" t="s">
        <v>1535</v>
      </c>
      <c r="C320" s="8" t="s">
        <v>160</v>
      </c>
      <c r="D320">
        <v>1.23</v>
      </c>
      <c r="E320">
        <v>0.41</v>
      </c>
      <c r="F320" t="s">
        <v>1969</v>
      </c>
      <c r="G320" s="16">
        <v>0</v>
      </c>
      <c r="H320" s="16">
        <v>0</v>
      </c>
      <c r="I320" s="16">
        <v>0</v>
      </c>
      <c r="J320" s="16">
        <v>2</v>
      </c>
      <c r="K320" s="16">
        <v>2</v>
      </c>
      <c r="L320" s="16">
        <v>0</v>
      </c>
      <c r="M320" s="16">
        <v>1</v>
      </c>
      <c r="N320" s="16">
        <v>2</v>
      </c>
      <c r="O320" s="16">
        <v>2</v>
      </c>
      <c r="P320" t="s">
        <v>1396</v>
      </c>
      <c r="Q320" t="s">
        <v>1313</v>
      </c>
      <c r="AA320" s="8"/>
      <c r="AB320" s="8"/>
      <c r="AC320" s="8"/>
      <c r="AE320" s="8"/>
      <c r="AF320" s="8"/>
    </row>
    <row r="321" spans="1:32" x14ac:dyDescent="0.15">
      <c r="A321" t="s">
        <v>1851</v>
      </c>
      <c r="B321" t="s">
        <v>1853</v>
      </c>
      <c r="C321" s="8" t="s">
        <v>160</v>
      </c>
      <c r="D321">
        <v>3.25</v>
      </c>
      <c r="E321">
        <v>1.26</v>
      </c>
      <c r="F321" t="s">
        <v>819</v>
      </c>
      <c r="G321" s="16">
        <v>3</v>
      </c>
      <c r="H321" s="16">
        <v>4</v>
      </c>
      <c r="I321" s="16">
        <v>2</v>
      </c>
      <c r="J321" s="16">
        <v>2</v>
      </c>
      <c r="K321" s="16">
        <v>2</v>
      </c>
      <c r="L321" s="16">
        <v>0</v>
      </c>
      <c r="M321" s="16">
        <v>1</v>
      </c>
      <c r="N321" s="16">
        <v>3</v>
      </c>
      <c r="O321" s="16">
        <v>3</v>
      </c>
      <c r="P321" t="s">
        <v>1571</v>
      </c>
      <c r="Q321" t="s">
        <v>1613</v>
      </c>
      <c r="AA321" s="8"/>
      <c r="AB321" s="8"/>
      <c r="AC321" s="8"/>
      <c r="AE321" s="8"/>
      <c r="AF321" s="8"/>
    </row>
    <row r="322" spans="1:32" x14ac:dyDescent="0.15">
      <c r="A322" t="s">
        <v>1943</v>
      </c>
      <c r="B322" t="s">
        <v>1988</v>
      </c>
      <c r="C322" s="8" t="s">
        <v>160</v>
      </c>
      <c r="D322">
        <v>3.45</v>
      </c>
      <c r="E322">
        <v>1.07</v>
      </c>
      <c r="F322" t="s">
        <v>2126</v>
      </c>
      <c r="G322" s="16">
        <v>2</v>
      </c>
      <c r="H322" s="16">
        <v>0</v>
      </c>
      <c r="I322" s="16">
        <v>0</v>
      </c>
      <c r="J322" s="16">
        <v>2</v>
      </c>
      <c r="K322" s="16">
        <v>1</v>
      </c>
      <c r="L322" s="16">
        <v>1</v>
      </c>
      <c r="M322" s="16">
        <v>1</v>
      </c>
      <c r="N322" s="16">
        <v>1</v>
      </c>
      <c r="O322" s="16">
        <v>1</v>
      </c>
      <c r="P322" t="s">
        <v>1396</v>
      </c>
      <c r="Q322" t="s">
        <v>1613</v>
      </c>
      <c r="R322" t="s">
        <v>2245</v>
      </c>
      <c r="AA322" s="8"/>
      <c r="AB322" s="8"/>
      <c r="AC322" s="8"/>
      <c r="AE322" s="8"/>
      <c r="AF322" s="8"/>
    </row>
    <row r="323" spans="1:32" x14ac:dyDescent="0.15">
      <c r="A323" t="s">
        <v>748</v>
      </c>
      <c r="B323" t="s">
        <v>749</v>
      </c>
      <c r="C323" s="8" t="s">
        <v>160</v>
      </c>
      <c r="D323">
        <f>0.42*3.02</f>
        <v>1.2684</v>
      </c>
      <c r="E323">
        <f>0.42*1.2</f>
        <v>0.504</v>
      </c>
      <c r="F323" t="s">
        <v>836</v>
      </c>
      <c r="G323" s="16">
        <v>3</v>
      </c>
      <c r="H323" s="16">
        <v>0</v>
      </c>
      <c r="I323" s="16">
        <v>0</v>
      </c>
      <c r="J323" s="16">
        <v>2</v>
      </c>
      <c r="K323" s="16">
        <v>2</v>
      </c>
      <c r="L323" s="16">
        <v>1</v>
      </c>
      <c r="M323" s="16">
        <v>1</v>
      </c>
      <c r="N323" s="16">
        <v>1</v>
      </c>
      <c r="O323" s="16">
        <v>1</v>
      </c>
      <c r="P323" t="s">
        <v>740</v>
      </c>
      <c r="Q323" t="s">
        <v>660</v>
      </c>
      <c r="R323" t="s">
        <v>2118</v>
      </c>
      <c r="AA323" s="8"/>
      <c r="AB323" s="8"/>
      <c r="AC323" s="8"/>
      <c r="AE323" s="8"/>
      <c r="AF323" s="8"/>
    </row>
    <row r="324" spans="1:32" x14ac:dyDescent="0.15">
      <c r="A324" t="s">
        <v>473</v>
      </c>
      <c r="B324" t="s">
        <v>474</v>
      </c>
      <c r="C324" s="8" t="s">
        <v>160</v>
      </c>
      <c r="D324">
        <v>1.37</v>
      </c>
      <c r="E324">
        <v>0.47</v>
      </c>
      <c r="F324" t="s">
        <v>475</v>
      </c>
      <c r="G324" s="16">
        <v>2</v>
      </c>
      <c r="H324" s="16">
        <v>0</v>
      </c>
      <c r="I324" s="16">
        <v>0</v>
      </c>
      <c r="J324" s="16">
        <v>2</v>
      </c>
      <c r="K324" s="16">
        <v>1</v>
      </c>
      <c r="L324" s="16">
        <v>1</v>
      </c>
      <c r="M324" s="16">
        <v>1</v>
      </c>
      <c r="N324" s="16">
        <v>1</v>
      </c>
      <c r="O324" s="16">
        <v>1</v>
      </c>
      <c r="P324" t="s">
        <v>798</v>
      </c>
      <c r="Q324" t="s">
        <v>799</v>
      </c>
      <c r="AA324" s="8"/>
      <c r="AB324" s="8"/>
      <c r="AC324" s="8"/>
      <c r="AE324" s="8"/>
      <c r="AF324" s="8"/>
    </row>
    <row r="325" spans="1:32" x14ac:dyDescent="0.15">
      <c r="A325" t="s">
        <v>675</v>
      </c>
      <c r="B325" t="s">
        <v>593</v>
      </c>
      <c r="C325" s="8" t="s">
        <v>160</v>
      </c>
      <c r="D325">
        <f>0.42*6.53</f>
        <v>2.7425999999999999</v>
      </c>
      <c r="E325">
        <f>0.42*1.52</f>
        <v>0.63839999999999997</v>
      </c>
      <c r="F325" t="s">
        <v>665</v>
      </c>
      <c r="G325" s="16">
        <v>3</v>
      </c>
      <c r="H325" s="16">
        <v>0</v>
      </c>
      <c r="I325" s="16">
        <v>0</v>
      </c>
      <c r="J325" s="16">
        <v>0</v>
      </c>
      <c r="K325" s="16">
        <v>0</v>
      </c>
      <c r="L325" s="16">
        <v>1</v>
      </c>
      <c r="M325" s="16">
        <v>1</v>
      </c>
      <c r="N325" s="16">
        <v>1</v>
      </c>
      <c r="O325" s="16">
        <v>3</v>
      </c>
      <c r="P325" t="s">
        <v>823</v>
      </c>
      <c r="Q325" t="s">
        <v>799</v>
      </c>
      <c r="R325" t="s">
        <v>2276</v>
      </c>
      <c r="AA325" s="8"/>
      <c r="AB325" s="8"/>
      <c r="AC325" s="8"/>
      <c r="AE325" s="8"/>
      <c r="AF325" s="8"/>
    </row>
    <row r="326" spans="1:32" x14ac:dyDescent="0.15">
      <c r="A326" t="s">
        <v>574</v>
      </c>
      <c r="B326" t="s">
        <v>474</v>
      </c>
      <c r="C326" s="8" t="s">
        <v>160</v>
      </c>
      <c r="D326">
        <f>0.42*3.69</f>
        <v>1.5497999999999998</v>
      </c>
      <c r="E326">
        <f>0.42*1.85</f>
        <v>0.77700000000000002</v>
      </c>
      <c r="F326" t="s">
        <v>575</v>
      </c>
      <c r="G326" s="16">
        <v>3</v>
      </c>
      <c r="H326" s="16">
        <v>5</v>
      </c>
      <c r="I326" s="16">
        <v>2</v>
      </c>
      <c r="J326" s="16">
        <v>0</v>
      </c>
      <c r="K326" s="16">
        <v>0</v>
      </c>
      <c r="L326" s="16">
        <v>0</v>
      </c>
      <c r="M326" s="16">
        <v>0</v>
      </c>
      <c r="N326" s="16">
        <v>1</v>
      </c>
      <c r="O326" s="16">
        <v>2</v>
      </c>
      <c r="P326" t="s">
        <v>576</v>
      </c>
      <c r="Q326" t="s">
        <v>765</v>
      </c>
      <c r="R326" t="s">
        <v>2316</v>
      </c>
      <c r="AA326" s="8"/>
      <c r="AB326" s="8"/>
      <c r="AC326" s="8"/>
      <c r="AE326" s="8"/>
      <c r="AF326" s="8"/>
    </row>
    <row r="327" spans="1:32" x14ac:dyDescent="0.15">
      <c r="A327" t="s">
        <v>592</v>
      </c>
      <c r="B327" t="s">
        <v>749</v>
      </c>
      <c r="C327" s="8" t="s">
        <v>160</v>
      </c>
      <c r="D327">
        <v>1.66</v>
      </c>
      <c r="E327">
        <v>0.66</v>
      </c>
      <c r="F327" t="s">
        <v>668</v>
      </c>
      <c r="G327" s="16">
        <v>0</v>
      </c>
      <c r="H327" s="16">
        <v>0</v>
      </c>
      <c r="I327" s="16">
        <v>0</v>
      </c>
      <c r="J327" s="16">
        <v>2</v>
      </c>
      <c r="K327" s="16">
        <v>1</v>
      </c>
      <c r="L327" s="16">
        <v>1</v>
      </c>
      <c r="M327" s="16">
        <v>1</v>
      </c>
      <c r="N327" s="16">
        <v>2</v>
      </c>
      <c r="O327" s="16">
        <v>2</v>
      </c>
      <c r="P327" t="s">
        <v>777</v>
      </c>
      <c r="Q327" t="s">
        <v>559</v>
      </c>
      <c r="R327" t="s">
        <v>2390</v>
      </c>
      <c r="AA327" s="8"/>
      <c r="AB327" s="8"/>
      <c r="AC327" s="8"/>
      <c r="AE327" s="8"/>
      <c r="AF327" s="8"/>
    </row>
    <row r="328" spans="1:32" x14ac:dyDescent="0.15">
      <c r="A328" t="s">
        <v>596</v>
      </c>
      <c r="B328" t="s">
        <v>749</v>
      </c>
      <c r="C328" s="8" t="s">
        <v>160</v>
      </c>
      <c r="D328">
        <v>2.2400000000000002</v>
      </c>
      <c r="E328">
        <v>0.67</v>
      </c>
      <c r="F328" t="s">
        <v>672</v>
      </c>
      <c r="G328" s="16">
        <v>1</v>
      </c>
      <c r="H328" s="16">
        <v>2</v>
      </c>
      <c r="I328" s="16">
        <v>1</v>
      </c>
      <c r="J328" s="16">
        <v>2</v>
      </c>
      <c r="K328" s="16">
        <v>2</v>
      </c>
      <c r="L328" s="16">
        <v>0</v>
      </c>
      <c r="M328" s="16">
        <v>1</v>
      </c>
      <c r="N328" s="16">
        <v>2</v>
      </c>
      <c r="O328" s="16">
        <v>3</v>
      </c>
      <c r="P328" t="s">
        <v>673</v>
      </c>
      <c r="Q328" t="s">
        <v>799</v>
      </c>
      <c r="R328" t="s">
        <v>2161</v>
      </c>
      <c r="AA328" s="8"/>
      <c r="AB328" s="8"/>
      <c r="AC328" s="8"/>
      <c r="AE328" s="8"/>
      <c r="AF328" s="8"/>
    </row>
    <row r="329" spans="1:32" x14ac:dyDescent="0.15">
      <c r="A329" t="s">
        <v>484</v>
      </c>
      <c r="B329" t="s">
        <v>474</v>
      </c>
      <c r="C329" s="8" t="s">
        <v>160</v>
      </c>
      <c r="D329">
        <v>1.1299999999999999</v>
      </c>
      <c r="E329">
        <v>0.43</v>
      </c>
      <c r="F329" t="s">
        <v>304</v>
      </c>
      <c r="G329" s="16">
        <v>3</v>
      </c>
      <c r="H329" s="16">
        <v>0</v>
      </c>
      <c r="I329" s="16">
        <v>0</v>
      </c>
      <c r="J329" s="16">
        <v>2</v>
      </c>
      <c r="K329" s="16">
        <v>2</v>
      </c>
      <c r="L329" s="16">
        <v>1</v>
      </c>
      <c r="M329" s="16">
        <v>1</v>
      </c>
      <c r="N329" s="16">
        <v>2</v>
      </c>
      <c r="O329" s="16">
        <v>2</v>
      </c>
      <c r="P329" t="s">
        <v>603</v>
      </c>
      <c r="Q329" t="s">
        <v>660</v>
      </c>
      <c r="AA329" s="8"/>
      <c r="AB329" s="8"/>
      <c r="AC329" s="8"/>
      <c r="AE329" s="8"/>
      <c r="AF329" s="8"/>
    </row>
    <row r="330" spans="1:32" x14ac:dyDescent="0.15">
      <c r="A330" t="s">
        <v>1001</v>
      </c>
      <c r="B330" t="s">
        <v>1002</v>
      </c>
      <c r="C330" s="8" t="s">
        <v>160</v>
      </c>
      <c r="D330">
        <v>1.37</v>
      </c>
      <c r="E330">
        <v>0.51</v>
      </c>
      <c r="F330" t="s">
        <v>2201</v>
      </c>
      <c r="G330" s="16">
        <v>0</v>
      </c>
      <c r="H330" s="16">
        <v>0</v>
      </c>
      <c r="I330" s="16">
        <v>0</v>
      </c>
      <c r="J330" s="16">
        <v>2</v>
      </c>
      <c r="K330" s="16">
        <v>1</v>
      </c>
      <c r="L330" s="16">
        <v>0</v>
      </c>
      <c r="M330" s="16">
        <v>1</v>
      </c>
      <c r="N330" s="16">
        <v>1</v>
      </c>
      <c r="O330" s="16">
        <v>2</v>
      </c>
      <c r="P330" t="s">
        <v>1081</v>
      </c>
      <c r="Q330" t="s">
        <v>1082</v>
      </c>
      <c r="AA330" s="8"/>
      <c r="AB330" s="8"/>
      <c r="AC330" s="8"/>
      <c r="AE330" s="8"/>
      <c r="AF330" s="8"/>
    </row>
    <row r="331" spans="1:32" x14ac:dyDescent="0.15">
      <c r="A331" t="s">
        <v>953</v>
      </c>
      <c r="B331" t="s">
        <v>1105</v>
      </c>
      <c r="C331" s="8" t="s">
        <v>160</v>
      </c>
      <c r="D331">
        <v>2.83</v>
      </c>
      <c r="E331">
        <v>1.17</v>
      </c>
      <c r="F331" t="s">
        <v>866</v>
      </c>
      <c r="G331" s="16">
        <v>3</v>
      </c>
      <c r="H331" s="16">
        <v>3</v>
      </c>
      <c r="I331" s="16">
        <v>1</v>
      </c>
      <c r="J331" s="16">
        <v>2</v>
      </c>
      <c r="K331" s="16">
        <v>1</v>
      </c>
      <c r="L331" s="16">
        <v>0</v>
      </c>
      <c r="M331" s="16">
        <v>1</v>
      </c>
      <c r="N331" s="16">
        <v>2</v>
      </c>
      <c r="O331" s="16">
        <v>1</v>
      </c>
      <c r="P331" t="s">
        <v>802</v>
      </c>
      <c r="Q331" t="s">
        <v>889</v>
      </c>
      <c r="R331" t="s">
        <v>2130</v>
      </c>
      <c r="AA331" s="8"/>
      <c r="AB331" s="8"/>
      <c r="AC331" s="8"/>
      <c r="AE331" s="8"/>
      <c r="AF331" s="8"/>
    </row>
    <row r="332" spans="1:32" x14ac:dyDescent="0.15">
      <c r="A332" t="s">
        <v>1490</v>
      </c>
      <c r="B332" t="s">
        <v>1491</v>
      </c>
      <c r="C332" s="8" t="s">
        <v>160</v>
      </c>
      <c r="D332">
        <v>1.31</v>
      </c>
      <c r="E332">
        <v>0.49</v>
      </c>
      <c r="F332" t="s">
        <v>945</v>
      </c>
      <c r="G332" s="16">
        <v>0</v>
      </c>
      <c r="H332" s="16">
        <v>0</v>
      </c>
      <c r="I332" s="16">
        <v>0</v>
      </c>
      <c r="J332" s="16">
        <v>2</v>
      </c>
      <c r="K332" s="16">
        <v>2</v>
      </c>
      <c r="L332" s="16">
        <v>1</v>
      </c>
      <c r="M332" s="16">
        <v>1</v>
      </c>
      <c r="N332" s="16">
        <v>1</v>
      </c>
      <c r="O332" s="16">
        <v>2</v>
      </c>
      <c r="P332" t="s">
        <v>1396</v>
      </c>
      <c r="Q332" t="s">
        <v>1602</v>
      </c>
      <c r="R332" t="s">
        <v>1910</v>
      </c>
      <c r="AA332" s="8"/>
      <c r="AB332" s="8"/>
      <c r="AC332" s="8"/>
      <c r="AE332" s="8"/>
      <c r="AF332" s="8"/>
    </row>
    <row r="333" spans="1:32" x14ac:dyDescent="0.15">
      <c r="A333" t="s">
        <v>1722</v>
      </c>
      <c r="B333" t="s">
        <v>1636</v>
      </c>
      <c r="C333" s="8" t="s">
        <v>160</v>
      </c>
      <c r="D333">
        <v>2.23</v>
      </c>
      <c r="E333">
        <v>0.72</v>
      </c>
      <c r="F333" t="s">
        <v>2049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1</v>
      </c>
      <c r="M333" s="16">
        <v>1</v>
      </c>
      <c r="N333" s="16">
        <v>2</v>
      </c>
      <c r="O333" s="16">
        <v>1</v>
      </c>
      <c r="P333" t="s">
        <v>1393</v>
      </c>
      <c r="Q333" t="s">
        <v>1313</v>
      </c>
      <c r="AA333" s="8"/>
      <c r="AB333" s="8"/>
      <c r="AC333" s="8"/>
      <c r="AE333" s="8"/>
      <c r="AF333" s="8"/>
    </row>
    <row r="334" spans="1:32" x14ac:dyDescent="0.15">
      <c r="A334" t="s">
        <v>1864</v>
      </c>
      <c r="B334" t="s">
        <v>1942</v>
      </c>
      <c r="C334" s="8" t="s">
        <v>160</v>
      </c>
      <c r="D334">
        <v>2.69</v>
      </c>
      <c r="E334">
        <v>0.44</v>
      </c>
      <c r="F334" t="s">
        <v>2237</v>
      </c>
      <c r="G334" s="16">
        <v>1</v>
      </c>
      <c r="H334" s="16">
        <v>0</v>
      </c>
      <c r="I334" s="16">
        <v>0</v>
      </c>
      <c r="J334" s="16">
        <v>1</v>
      </c>
      <c r="K334" s="16">
        <v>1</v>
      </c>
      <c r="L334" s="16">
        <v>1</v>
      </c>
      <c r="M334" s="16">
        <v>1</v>
      </c>
      <c r="N334" s="16">
        <v>1</v>
      </c>
      <c r="O334" s="16">
        <v>1</v>
      </c>
      <c r="P334" t="s">
        <v>1865</v>
      </c>
      <c r="Q334" t="s">
        <v>1617</v>
      </c>
      <c r="R334" t="s">
        <v>2352</v>
      </c>
      <c r="AA334" s="8"/>
      <c r="AB334" s="8"/>
      <c r="AC334" s="8"/>
      <c r="AE334" s="8"/>
      <c r="AF334" s="8"/>
    </row>
    <row r="335" spans="1:32" x14ac:dyDescent="0.15">
      <c r="A335" t="s">
        <v>761</v>
      </c>
      <c r="B335" t="s">
        <v>762</v>
      </c>
      <c r="C335" s="8" t="s">
        <v>160</v>
      </c>
      <c r="D335">
        <v>2.35</v>
      </c>
      <c r="E335">
        <v>0.92</v>
      </c>
      <c r="F335" t="s">
        <v>763</v>
      </c>
      <c r="G335" s="16">
        <v>2</v>
      </c>
      <c r="H335" s="16">
        <v>2</v>
      </c>
      <c r="I335" s="16">
        <v>1</v>
      </c>
      <c r="J335" s="16">
        <v>0</v>
      </c>
      <c r="K335" s="16">
        <v>0</v>
      </c>
      <c r="L335" s="16">
        <v>0</v>
      </c>
      <c r="M335" s="16">
        <v>0</v>
      </c>
      <c r="N335" s="16">
        <v>1</v>
      </c>
      <c r="O335" s="16">
        <v>2</v>
      </c>
      <c r="P335" t="s">
        <v>764</v>
      </c>
      <c r="Q335" t="s">
        <v>765</v>
      </c>
      <c r="R335" t="s">
        <v>2321</v>
      </c>
      <c r="AA335" s="8"/>
      <c r="AB335" s="8"/>
      <c r="AC335" s="8"/>
      <c r="AE335" s="8"/>
      <c r="AF335" s="8"/>
    </row>
    <row r="336" spans="1:32" x14ac:dyDescent="0.15">
      <c r="A336" t="s">
        <v>533</v>
      </c>
      <c r="B336" t="s">
        <v>535</v>
      </c>
      <c r="C336" s="8" t="s">
        <v>160</v>
      </c>
      <c r="D336">
        <v>1.47</v>
      </c>
      <c r="E336">
        <v>0.44</v>
      </c>
      <c r="F336" t="s">
        <v>536</v>
      </c>
      <c r="G336" s="16">
        <v>1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1</v>
      </c>
      <c r="N336" s="16">
        <v>1</v>
      </c>
      <c r="O336" s="16">
        <v>1</v>
      </c>
      <c r="P336" t="s">
        <v>467</v>
      </c>
      <c r="Q336" t="s">
        <v>799</v>
      </c>
      <c r="AA336" s="8"/>
      <c r="AB336" s="8"/>
      <c r="AC336" s="8"/>
      <c r="AE336" s="8"/>
      <c r="AF336" s="8"/>
    </row>
    <row r="337" spans="1:32" x14ac:dyDescent="0.15">
      <c r="A337" t="s">
        <v>457</v>
      </c>
      <c r="B337" t="s">
        <v>535</v>
      </c>
      <c r="C337" s="8" t="s">
        <v>160</v>
      </c>
      <c r="D337">
        <v>0.93</v>
      </c>
      <c r="E337">
        <v>0.33</v>
      </c>
      <c r="F337" t="s">
        <v>458</v>
      </c>
      <c r="G337" s="16">
        <v>2</v>
      </c>
      <c r="H337" s="16">
        <v>0</v>
      </c>
      <c r="I337" s="16">
        <v>0</v>
      </c>
      <c r="J337" s="16">
        <v>2</v>
      </c>
      <c r="K337" s="16">
        <v>2</v>
      </c>
      <c r="L337" s="16">
        <v>0</v>
      </c>
      <c r="M337" s="16">
        <v>1</v>
      </c>
      <c r="N337" s="16">
        <v>1</v>
      </c>
      <c r="O337" s="16">
        <v>1</v>
      </c>
      <c r="P337" t="s">
        <v>854</v>
      </c>
      <c r="Q337" t="s">
        <v>660</v>
      </c>
      <c r="AA337" s="8"/>
      <c r="AB337" s="8"/>
      <c r="AC337" s="8"/>
      <c r="AE337" s="8"/>
      <c r="AF337" s="8"/>
    </row>
    <row r="338" spans="1:32" x14ac:dyDescent="0.15">
      <c r="A338" t="s">
        <v>1836</v>
      </c>
      <c r="B338" t="s">
        <v>1837</v>
      </c>
      <c r="C338" s="8" t="s">
        <v>160</v>
      </c>
      <c r="D338">
        <v>1.59</v>
      </c>
      <c r="E338">
        <v>0.46</v>
      </c>
      <c r="F338" t="s">
        <v>821</v>
      </c>
      <c r="G338" s="16">
        <v>4</v>
      </c>
      <c r="H338" s="16">
        <v>0</v>
      </c>
      <c r="I338" s="16">
        <v>0</v>
      </c>
      <c r="J338" s="16">
        <v>2</v>
      </c>
      <c r="K338" s="16">
        <v>2</v>
      </c>
      <c r="L338" s="16">
        <v>1</v>
      </c>
      <c r="M338" s="16">
        <v>1</v>
      </c>
      <c r="N338" s="16">
        <v>1</v>
      </c>
      <c r="O338" s="16">
        <v>1</v>
      </c>
      <c r="P338" t="s">
        <v>1396</v>
      </c>
      <c r="Q338" t="s">
        <v>1617</v>
      </c>
      <c r="AA338" s="8"/>
      <c r="AB338" s="8"/>
      <c r="AC338" s="8"/>
      <c r="AE338" s="8"/>
      <c r="AF338" s="8"/>
    </row>
    <row r="339" spans="1:32" x14ac:dyDescent="0.15">
      <c r="A339" t="s">
        <v>744</v>
      </c>
      <c r="B339" t="s">
        <v>745</v>
      </c>
      <c r="C339" s="8" t="s">
        <v>160</v>
      </c>
      <c r="D339">
        <f>0.42*7.83</f>
        <v>3.2885999999999997</v>
      </c>
      <c r="E339">
        <f>0.42*1.73</f>
        <v>0.72659999999999991</v>
      </c>
      <c r="F339" t="s">
        <v>746</v>
      </c>
      <c r="G339" s="16">
        <v>4</v>
      </c>
      <c r="H339" s="16">
        <v>0</v>
      </c>
      <c r="I339" s="16">
        <v>0</v>
      </c>
      <c r="J339" s="16">
        <v>2</v>
      </c>
      <c r="K339" s="16">
        <v>2</v>
      </c>
      <c r="L339" s="16">
        <v>0</v>
      </c>
      <c r="M339" s="16">
        <v>1</v>
      </c>
      <c r="N339" s="16">
        <v>2</v>
      </c>
      <c r="O339" s="16">
        <v>2</v>
      </c>
      <c r="P339" t="s">
        <v>747</v>
      </c>
      <c r="Q339" t="s">
        <v>799</v>
      </c>
      <c r="R339" t="s">
        <v>1977</v>
      </c>
      <c r="AA339" s="8"/>
      <c r="AB339" s="8"/>
      <c r="AC339" s="8"/>
      <c r="AE339" s="8"/>
      <c r="AF339" s="8"/>
    </row>
    <row r="340" spans="1:32" x14ac:dyDescent="0.15">
      <c r="A340" t="s">
        <v>1790</v>
      </c>
      <c r="B340" t="s">
        <v>1316</v>
      </c>
      <c r="D340">
        <v>1.77</v>
      </c>
      <c r="E340">
        <v>0.62</v>
      </c>
      <c r="F340" t="s">
        <v>1949</v>
      </c>
      <c r="G340" s="16">
        <v>1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1</v>
      </c>
      <c r="N340" s="16">
        <v>1</v>
      </c>
      <c r="O340" s="16">
        <v>2</v>
      </c>
      <c r="P340" t="s">
        <v>1167</v>
      </c>
      <c r="Q340" t="s">
        <v>1242</v>
      </c>
      <c r="R340" t="s">
        <v>1990</v>
      </c>
      <c r="AA340" s="8"/>
      <c r="AB340" s="8"/>
      <c r="AC340" s="8"/>
      <c r="AE340" s="8"/>
      <c r="AF340" s="8"/>
    </row>
    <row r="341" spans="1:32" x14ac:dyDescent="0.15">
      <c r="A341" t="s">
        <v>1048</v>
      </c>
      <c r="B341" t="s">
        <v>1132</v>
      </c>
      <c r="D341">
        <v>3.85</v>
      </c>
      <c r="E341">
        <v>1.33</v>
      </c>
      <c r="F341" t="s">
        <v>2168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1</v>
      </c>
      <c r="N341" s="16">
        <v>2</v>
      </c>
      <c r="O341" s="16">
        <v>2</v>
      </c>
      <c r="P341" t="s">
        <v>1088</v>
      </c>
      <c r="Q341" t="s">
        <v>1089</v>
      </c>
      <c r="AA341" s="8"/>
      <c r="AB341" s="8"/>
      <c r="AC341" s="8"/>
      <c r="AE341" s="8"/>
      <c r="AF341" s="8"/>
    </row>
    <row r="342" spans="1:32" x14ac:dyDescent="0.15">
      <c r="A342" t="s">
        <v>1140</v>
      </c>
      <c r="B342" t="s">
        <v>1063</v>
      </c>
      <c r="D342">
        <v>2.74</v>
      </c>
      <c r="E342">
        <v>0.82</v>
      </c>
      <c r="F342" t="s">
        <v>2171</v>
      </c>
      <c r="G342" s="16">
        <v>3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t="s">
        <v>1088</v>
      </c>
      <c r="Q342" t="s">
        <v>1064</v>
      </c>
      <c r="R342" t="s">
        <v>2100</v>
      </c>
      <c r="AA342" s="8"/>
      <c r="AB342" s="8"/>
      <c r="AC342" s="8"/>
      <c r="AE342" s="8"/>
      <c r="AF342" s="8"/>
    </row>
    <row r="343" spans="1:32" x14ac:dyDescent="0.15">
      <c r="A343" t="s">
        <v>1554</v>
      </c>
      <c r="B343" t="s">
        <v>1614</v>
      </c>
      <c r="D343">
        <v>3.07</v>
      </c>
      <c r="E343">
        <v>1.5</v>
      </c>
      <c r="F343" t="s">
        <v>2208</v>
      </c>
      <c r="G343" s="16">
        <v>0</v>
      </c>
      <c r="H343" s="16">
        <v>4</v>
      </c>
      <c r="I343" s="16">
        <v>1</v>
      </c>
      <c r="J343" s="16">
        <v>0</v>
      </c>
      <c r="K343" s="16">
        <v>0</v>
      </c>
      <c r="L343" s="16">
        <v>0</v>
      </c>
      <c r="M343" s="16">
        <v>0</v>
      </c>
      <c r="N343" s="16">
        <v>3</v>
      </c>
      <c r="O343" s="16">
        <v>2</v>
      </c>
      <c r="P343" t="s">
        <v>1514</v>
      </c>
      <c r="Q343" t="s">
        <v>1615</v>
      </c>
      <c r="AA343" s="8"/>
      <c r="AB343" s="8"/>
      <c r="AC343" s="8"/>
      <c r="AE343" s="8"/>
      <c r="AF343" s="8"/>
    </row>
    <row r="344" spans="1:32" x14ac:dyDescent="0.15">
      <c r="A344" t="s">
        <v>1856</v>
      </c>
      <c r="B344" t="s">
        <v>1614</v>
      </c>
      <c r="D344">
        <v>1.36</v>
      </c>
      <c r="E344">
        <v>1.62</v>
      </c>
      <c r="F344" t="s">
        <v>2209</v>
      </c>
      <c r="G344" s="16">
        <v>3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t="s">
        <v>1514</v>
      </c>
      <c r="Q344" t="s">
        <v>1404</v>
      </c>
      <c r="AA344" s="8"/>
      <c r="AB344" s="8"/>
      <c r="AC344" s="8"/>
      <c r="AE344" s="8"/>
      <c r="AF344" s="8"/>
    </row>
    <row r="345" spans="1:32" x14ac:dyDescent="0.15">
      <c r="A345" t="s">
        <v>1585</v>
      </c>
      <c r="B345" t="s">
        <v>1614</v>
      </c>
      <c r="D345">
        <v>1.07</v>
      </c>
      <c r="E345">
        <v>0.43</v>
      </c>
      <c r="F345" t="s">
        <v>2189</v>
      </c>
      <c r="G345" s="16">
        <v>1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1</v>
      </c>
      <c r="O345" s="16">
        <v>2</v>
      </c>
      <c r="P345" t="s">
        <v>1514</v>
      </c>
      <c r="Q345" t="s">
        <v>1586</v>
      </c>
      <c r="AA345" s="8"/>
      <c r="AB345" s="8"/>
      <c r="AC345" s="8"/>
      <c r="AE345" s="8"/>
      <c r="AF345" s="8"/>
    </row>
    <row r="346" spans="1:32" x14ac:dyDescent="0.15">
      <c r="A346" t="s">
        <v>804</v>
      </c>
      <c r="B346" t="s">
        <v>986</v>
      </c>
      <c r="D346">
        <v>2.13</v>
      </c>
      <c r="E346">
        <v>1.07</v>
      </c>
      <c r="F346" t="s">
        <v>1885</v>
      </c>
      <c r="G346" s="16">
        <v>0</v>
      </c>
      <c r="H346" s="16">
        <v>3</v>
      </c>
      <c r="I346" s="16">
        <v>1</v>
      </c>
      <c r="J346" s="16">
        <v>0</v>
      </c>
      <c r="K346" s="16">
        <v>0</v>
      </c>
      <c r="L346" s="16">
        <v>0</v>
      </c>
      <c r="M346" s="16">
        <v>0</v>
      </c>
      <c r="N346" s="16">
        <v>1</v>
      </c>
      <c r="O346" s="16">
        <v>2</v>
      </c>
      <c r="P346" t="s">
        <v>1081</v>
      </c>
      <c r="Q346" t="s">
        <v>1051</v>
      </c>
      <c r="R346" t="s">
        <v>1981</v>
      </c>
      <c r="AA346" s="8"/>
      <c r="AB346" s="8"/>
      <c r="AC346" s="8"/>
      <c r="AE346" s="8"/>
      <c r="AF346" s="8"/>
    </row>
    <row r="347" spans="1:32" x14ac:dyDescent="0.15">
      <c r="A347" t="s">
        <v>1811</v>
      </c>
      <c r="B347" t="s">
        <v>986</v>
      </c>
      <c r="D347">
        <v>2.08</v>
      </c>
      <c r="E347">
        <v>0.49</v>
      </c>
      <c r="F347" t="s">
        <v>1768</v>
      </c>
      <c r="G347" s="16">
        <v>0</v>
      </c>
      <c r="H347" s="16">
        <v>0</v>
      </c>
      <c r="I347" s="16">
        <v>0</v>
      </c>
      <c r="J347" s="16">
        <v>2</v>
      </c>
      <c r="K347" s="16">
        <v>1</v>
      </c>
      <c r="L347" s="16">
        <v>1</v>
      </c>
      <c r="M347" s="16">
        <v>1</v>
      </c>
      <c r="N347" s="16">
        <v>1</v>
      </c>
      <c r="O347" s="16">
        <v>1</v>
      </c>
      <c r="P347" t="s">
        <v>1101</v>
      </c>
      <c r="Q347" t="s">
        <v>1082</v>
      </c>
      <c r="R347" t="s">
        <v>1748</v>
      </c>
      <c r="AA347" s="8"/>
      <c r="AB347" s="8"/>
      <c r="AC347" s="8"/>
      <c r="AE347" s="8"/>
      <c r="AF347" s="8"/>
    </row>
    <row r="348" spans="1:32" x14ac:dyDescent="0.15">
      <c r="A348" t="s">
        <v>1599</v>
      </c>
      <c r="B348" t="s">
        <v>1600</v>
      </c>
      <c r="D348">
        <v>1.24</v>
      </c>
      <c r="E348">
        <v>0.28999999999999998</v>
      </c>
      <c r="F348" t="s">
        <v>2210</v>
      </c>
      <c r="G348" s="16">
        <v>0</v>
      </c>
      <c r="H348" s="16">
        <v>2</v>
      </c>
      <c r="I348" s="16">
        <v>1</v>
      </c>
      <c r="J348" s="16">
        <v>0</v>
      </c>
      <c r="K348" s="16">
        <v>0</v>
      </c>
      <c r="L348" s="16">
        <v>0</v>
      </c>
      <c r="M348" s="16">
        <v>1</v>
      </c>
      <c r="N348" s="16">
        <v>1</v>
      </c>
      <c r="O348" s="16">
        <v>2</v>
      </c>
      <c r="P348" t="s">
        <v>1529</v>
      </c>
      <c r="Q348" t="s">
        <v>1530</v>
      </c>
      <c r="AA348" s="8"/>
      <c r="AB348" s="8"/>
      <c r="AC348" s="8"/>
      <c r="AE348" s="8"/>
      <c r="AF348" s="8"/>
    </row>
    <row r="349" spans="1:32" x14ac:dyDescent="0.15">
      <c r="A349" t="s">
        <v>930</v>
      </c>
      <c r="B349" t="s">
        <v>931</v>
      </c>
      <c r="D349">
        <v>1.19</v>
      </c>
      <c r="E349">
        <v>0.38</v>
      </c>
      <c r="F349" t="s">
        <v>2218</v>
      </c>
      <c r="G349" s="16">
        <v>0</v>
      </c>
      <c r="H349" s="16">
        <v>2</v>
      </c>
      <c r="I349" s="16">
        <v>1</v>
      </c>
      <c r="J349" s="16">
        <v>0</v>
      </c>
      <c r="K349" s="16">
        <v>0</v>
      </c>
      <c r="L349" s="16">
        <v>0</v>
      </c>
      <c r="M349" s="16">
        <v>1</v>
      </c>
      <c r="N349" s="16">
        <v>2</v>
      </c>
      <c r="O349" s="16">
        <v>1</v>
      </c>
      <c r="P349" t="s">
        <v>885</v>
      </c>
      <c r="Q349" t="s">
        <v>730</v>
      </c>
      <c r="AA349" s="8"/>
      <c r="AB349" s="8"/>
      <c r="AC349" s="8"/>
      <c r="AE349" s="8"/>
      <c r="AF349" s="8"/>
    </row>
    <row r="350" spans="1:32" x14ac:dyDescent="0.15">
      <c r="A350" t="s">
        <v>999</v>
      </c>
      <c r="B350" t="s">
        <v>931</v>
      </c>
      <c r="D350">
        <v>1.7</v>
      </c>
      <c r="E350">
        <v>0.44</v>
      </c>
      <c r="F350" t="s">
        <v>2298</v>
      </c>
      <c r="G350" s="16">
        <v>0</v>
      </c>
      <c r="H350" s="16">
        <v>2</v>
      </c>
      <c r="I350" s="16">
        <v>1</v>
      </c>
      <c r="J350" s="16">
        <v>2</v>
      </c>
      <c r="K350" s="16">
        <v>1</v>
      </c>
      <c r="L350" s="16">
        <v>0</v>
      </c>
      <c r="M350" s="16">
        <v>1</v>
      </c>
      <c r="N350" s="16">
        <v>1</v>
      </c>
      <c r="O350" s="16">
        <v>2</v>
      </c>
      <c r="P350" t="s">
        <v>802</v>
      </c>
      <c r="Q350" t="s">
        <v>730</v>
      </c>
      <c r="AA350" s="8"/>
      <c r="AB350" s="8"/>
      <c r="AC350" s="8"/>
      <c r="AE350" s="8"/>
      <c r="AF350" s="8"/>
    </row>
    <row r="351" spans="1:32" x14ac:dyDescent="0.15">
      <c r="A351" t="s">
        <v>962</v>
      </c>
      <c r="B351" t="s">
        <v>931</v>
      </c>
      <c r="D351">
        <v>1.01</v>
      </c>
      <c r="E351">
        <v>0.3</v>
      </c>
      <c r="F351" t="s">
        <v>779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1</v>
      </c>
      <c r="N351" s="16">
        <v>1</v>
      </c>
      <c r="O351" s="16">
        <v>1</v>
      </c>
      <c r="P351" t="s">
        <v>802</v>
      </c>
      <c r="Q351" t="s">
        <v>730</v>
      </c>
      <c r="AA351" s="8"/>
      <c r="AB351" s="8"/>
      <c r="AC351" s="8"/>
      <c r="AE351" s="8"/>
      <c r="AF351" s="8"/>
    </row>
    <row r="352" spans="1:32" x14ac:dyDescent="0.15">
      <c r="A352" t="s">
        <v>645</v>
      </c>
      <c r="B352" t="s">
        <v>646</v>
      </c>
      <c r="D352">
        <v>0.93</v>
      </c>
      <c r="E352">
        <v>0.34</v>
      </c>
      <c r="F352" t="s">
        <v>2215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1</v>
      </c>
      <c r="M352" s="16">
        <v>1</v>
      </c>
      <c r="N352" s="16">
        <v>1</v>
      </c>
      <c r="O352" s="16">
        <v>1</v>
      </c>
      <c r="P352" t="s">
        <v>1134</v>
      </c>
      <c r="Q352" t="s">
        <v>730</v>
      </c>
      <c r="R352" t="s">
        <v>2301</v>
      </c>
      <c r="AA352" s="8"/>
      <c r="AB352" s="8"/>
      <c r="AC352" s="8"/>
      <c r="AE352" s="8"/>
      <c r="AF352" s="8"/>
    </row>
    <row r="353" spans="1:32" x14ac:dyDescent="0.15">
      <c r="A353" t="s">
        <v>948</v>
      </c>
      <c r="B353" t="s">
        <v>931</v>
      </c>
      <c r="D353">
        <v>0.79</v>
      </c>
      <c r="E353">
        <v>0.31</v>
      </c>
      <c r="F353" t="s">
        <v>2089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1</v>
      </c>
      <c r="N353" s="16">
        <v>1</v>
      </c>
      <c r="O353" s="16">
        <v>2</v>
      </c>
      <c r="P353" t="s">
        <v>802</v>
      </c>
      <c r="Q353" t="s">
        <v>730</v>
      </c>
      <c r="AA353" s="8"/>
      <c r="AB353" s="8"/>
      <c r="AC353" s="8"/>
      <c r="AE353" s="8"/>
      <c r="AF353" s="8"/>
    </row>
    <row r="354" spans="1:32" x14ac:dyDescent="0.15">
      <c r="A354" t="s">
        <v>808</v>
      </c>
      <c r="B354" t="s">
        <v>901</v>
      </c>
      <c r="D354">
        <v>1.43</v>
      </c>
      <c r="E354">
        <v>0.37</v>
      </c>
      <c r="F354" t="s">
        <v>905</v>
      </c>
      <c r="G354" s="16">
        <v>2</v>
      </c>
      <c r="H354" s="16">
        <v>2</v>
      </c>
      <c r="I354" s="16">
        <v>4</v>
      </c>
      <c r="J354" s="16">
        <v>1</v>
      </c>
      <c r="K354" s="16">
        <v>2</v>
      </c>
      <c r="L354" s="16">
        <v>2</v>
      </c>
      <c r="M354" s="16">
        <v>0</v>
      </c>
      <c r="N354" s="16">
        <v>0</v>
      </c>
      <c r="O354" s="16">
        <v>0</v>
      </c>
      <c r="P354" t="s">
        <v>802</v>
      </c>
      <c r="Q354" t="s">
        <v>809</v>
      </c>
      <c r="R354" t="s">
        <v>835</v>
      </c>
      <c r="AA354" s="8"/>
      <c r="AB354" s="8"/>
      <c r="AC354" s="8"/>
      <c r="AE354" s="8"/>
      <c r="AF354" s="8"/>
    </row>
    <row r="355" spans="1:32" x14ac:dyDescent="0.15">
      <c r="A355" t="s">
        <v>1631</v>
      </c>
      <c r="B355" t="s">
        <v>1632</v>
      </c>
      <c r="D355">
        <v>1.62</v>
      </c>
      <c r="E355">
        <v>1.29</v>
      </c>
      <c r="F355" t="s">
        <v>2207</v>
      </c>
      <c r="G355" s="16">
        <v>0</v>
      </c>
      <c r="H355" s="16">
        <v>2</v>
      </c>
      <c r="I355" s="16">
        <v>3</v>
      </c>
      <c r="J355" s="16">
        <v>0</v>
      </c>
      <c r="K355" s="16">
        <v>0</v>
      </c>
      <c r="L355" s="16">
        <v>0</v>
      </c>
      <c r="M355" s="16">
        <v>1</v>
      </c>
      <c r="N355" s="16">
        <v>1</v>
      </c>
      <c r="O355" s="16">
        <v>0</v>
      </c>
      <c r="P355" t="s">
        <v>1633</v>
      </c>
      <c r="Q355" t="s">
        <v>1634</v>
      </c>
      <c r="R355" t="s">
        <v>2144</v>
      </c>
      <c r="AA355" s="8"/>
      <c r="AB355" s="8"/>
      <c r="AC355" s="8"/>
      <c r="AE355" s="8"/>
      <c r="AF355" s="8"/>
    </row>
    <row r="356" spans="1:32" x14ac:dyDescent="0.15">
      <c r="A356" t="s">
        <v>1603</v>
      </c>
      <c r="B356" t="s">
        <v>1604</v>
      </c>
      <c r="D356">
        <v>1.37</v>
      </c>
      <c r="E356">
        <v>0.81</v>
      </c>
      <c r="F356" t="s">
        <v>945</v>
      </c>
      <c r="G356" s="16">
        <v>0</v>
      </c>
      <c r="H356" s="16">
        <v>2</v>
      </c>
      <c r="I356" s="16">
        <v>1</v>
      </c>
      <c r="J356" s="16">
        <v>1</v>
      </c>
      <c r="K356" s="16">
        <v>1</v>
      </c>
      <c r="L356" s="16">
        <v>0</v>
      </c>
      <c r="M356" s="16">
        <v>1</v>
      </c>
      <c r="N356" s="16">
        <v>1</v>
      </c>
      <c r="O356" s="16">
        <v>1</v>
      </c>
      <c r="P356" t="s">
        <v>1605</v>
      </c>
      <c r="Q356" t="s">
        <v>1602</v>
      </c>
      <c r="R356" t="s">
        <v>2069</v>
      </c>
      <c r="AA356" s="8"/>
      <c r="AB356" s="8"/>
      <c r="AC356" s="8"/>
      <c r="AE356" s="8"/>
      <c r="AF356" s="8"/>
    </row>
    <row r="357" spans="1:32" x14ac:dyDescent="0.15">
      <c r="A357" t="s">
        <v>1646</v>
      </c>
      <c r="B357" t="s">
        <v>1647</v>
      </c>
      <c r="D357">
        <v>1.5</v>
      </c>
      <c r="E357">
        <v>0.64</v>
      </c>
      <c r="F357" t="s">
        <v>787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1</v>
      </c>
      <c r="N357" s="16">
        <v>1</v>
      </c>
      <c r="O357" s="16">
        <v>2</v>
      </c>
      <c r="P357" t="s">
        <v>1393</v>
      </c>
      <c r="Q357" t="s">
        <v>1313</v>
      </c>
      <c r="R357" t="s">
        <v>2070</v>
      </c>
      <c r="AA357" s="8"/>
      <c r="AB357" s="8"/>
      <c r="AC357" s="8"/>
      <c r="AE357" s="8"/>
      <c r="AF357" s="8"/>
    </row>
    <row r="358" spans="1:32" x14ac:dyDescent="0.15">
      <c r="A358" t="s">
        <v>1704</v>
      </c>
      <c r="B358" t="s">
        <v>1705</v>
      </c>
      <c r="D358">
        <v>1.06</v>
      </c>
      <c r="E358">
        <v>0.42</v>
      </c>
      <c r="F358" t="s">
        <v>789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1</v>
      </c>
      <c r="N358" s="16">
        <v>1</v>
      </c>
      <c r="O358" s="16">
        <v>2</v>
      </c>
      <c r="P358" t="s">
        <v>1393</v>
      </c>
      <c r="Q358" t="s">
        <v>1313</v>
      </c>
      <c r="AA358" s="8"/>
      <c r="AB358" s="8"/>
      <c r="AC358" s="8"/>
      <c r="AE358" s="8"/>
      <c r="AF358" s="8"/>
    </row>
    <row r="359" spans="1:32" x14ac:dyDescent="0.15">
      <c r="A359" t="s">
        <v>1706</v>
      </c>
      <c r="B359" t="s">
        <v>1632</v>
      </c>
      <c r="D359">
        <v>1.44</v>
      </c>
      <c r="E359">
        <v>0.44</v>
      </c>
      <c r="F359" t="s">
        <v>790</v>
      </c>
      <c r="G359" s="16">
        <v>0</v>
      </c>
      <c r="H359" s="16">
        <v>2</v>
      </c>
      <c r="I359" s="16">
        <v>1</v>
      </c>
      <c r="J359" s="16">
        <v>2</v>
      </c>
      <c r="K359" s="16">
        <v>1</v>
      </c>
      <c r="L359" s="16">
        <v>0</v>
      </c>
      <c r="M359" s="16">
        <v>1</v>
      </c>
      <c r="N359" s="16">
        <v>1</v>
      </c>
      <c r="O359" s="16">
        <v>1</v>
      </c>
      <c r="P359" t="s">
        <v>1393</v>
      </c>
      <c r="Q359" t="s">
        <v>1313</v>
      </c>
      <c r="AA359" s="8"/>
      <c r="AB359" s="8"/>
      <c r="AC359" s="8"/>
      <c r="AE359" s="8"/>
      <c r="AF359" s="8"/>
    </row>
    <row r="360" spans="1:32" x14ac:dyDescent="0.15">
      <c r="A360" t="s">
        <v>1481</v>
      </c>
      <c r="B360" t="s">
        <v>1650</v>
      </c>
      <c r="D360">
        <v>2.23</v>
      </c>
      <c r="E360">
        <v>1.38</v>
      </c>
      <c r="F360" t="s">
        <v>2042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1</v>
      </c>
      <c r="M360" s="16">
        <v>1</v>
      </c>
      <c r="N360" s="16">
        <v>2</v>
      </c>
      <c r="O360" s="16">
        <v>2</v>
      </c>
      <c r="P360" t="s">
        <v>1393</v>
      </c>
      <c r="Q360" t="s">
        <v>1313</v>
      </c>
      <c r="R360" t="s">
        <v>2071</v>
      </c>
      <c r="AA360" s="8"/>
      <c r="AB360" s="8"/>
      <c r="AC360" s="8"/>
      <c r="AE360" s="8"/>
      <c r="AF360" s="8"/>
    </row>
    <row r="361" spans="1:32" x14ac:dyDescent="0.15">
      <c r="A361" t="s">
        <v>1674</v>
      </c>
      <c r="B361" t="s">
        <v>1734</v>
      </c>
      <c r="D361">
        <v>3.83</v>
      </c>
      <c r="E361">
        <v>1.5</v>
      </c>
      <c r="F361" t="s">
        <v>2020</v>
      </c>
      <c r="G361" s="16">
        <v>2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1</v>
      </c>
      <c r="N361" s="16">
        <v>1</v>
      </c>
      <c r="O361" s="16">
        <v>2</v>
      </c>
      <c r="P361" t="s">
        <v>1393</v>
      </c>
      <c r="Q361" t="s">
        <v>1613</v>
      </c>
      <c r="R361" t="s">
        <v>2137</v>
      </c>
      <c r="AA361" s="8"/>
      <c r="AB361" s="8"/>
      <c r="AC361" s="8"/>
      <c r="AE361" s="8"/>
      <c r="AF361" s="8"/>
    </row>
    <row r="362" spans="1:32" x14ac:dyDescent="0.15">
      <c r="A362" t="s">
        <v>1737</v>
      </c>
      <c r="B362" t="s">
        <v>1632</v>
      </c>
      <c r="D362">
        <v>2.17</v>
      </c>
      <c r="E362">
        <v>0.96</v>
      </c>
      <c r="F362" t="s">
        <v>2184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1</v>
      </c>
      <c r="N362" s="16">
        <v>1</v>
      </c>
      <c r="O362" s="16">
        <v>2</v>
      </c>
      <c r="P362" t="s">
        <v>1393</v>
      </c>
      <c r="Q362" t="s">
        <v>1313</v>
      </c>
      <c r="AA362" s="8"/>
      <c r="AB362" s="8"/>
      <c r="AC362" s="8"/>
      <c r="AE362" s="8"/>
      <c r="AF362" s="8"/>
    </row>
    <row r="363" spans="1:32" x14ac:dyDescent="0.15">
      <c r="A363" t="s">
        <v>1787</v>
      </c>
      <c r="B363" t="s">
        <v>1647</v>
      </c>
      <c r="D363">
        <v>5.32</v>
      </c>
      <c r="E363">
        <v>1.67</v>
      </c>
      <c r="F363" t="s">
        <v>1741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1</v>
      </c>
      <c r="O363" s="16">
        <v>2</v>
      </c>
      <c r="P363" t="s">
        <v>1402</v>
      </c>
      <c r="Q363" t="s">
        <v>1313</v>
      </c>
      <c r="R363" t="s">
        <v>2010</v>
      </c>
      <c r="AA363" s="8"/>
      <c r="AB363" s="8"/>
      <c r="AC363" s="8"/>
      <c r="AE363" s="8"/>
      <c r="AF363" s="8"/>
    </row>
    <row r="364" spans="1:32" x14ac:dyDescent="0.15">
      <c r="A364" t="s">
        <v>1791</v>
      </c>
      <c r="B364" t="s">
        <v>1632</v>
      </c>
      <c r="D364">
        <v>1.0900000000000001</v>
      </c>
      <c r="E364">
        <v>0.31</v>
      </c>
      <c r="F364" t="s">
        <v>1971</v>
      </c>
      <c r="G364" s="16">
        <v>2</v>
      </c>
      <c r="H364" s="16">
        <v>4</v>
      </c>
      <c r="I364" s="16">
        <v>1</v>
      </c>
      <c r="J364" s="16">
        <v>0</v>
      </c>
      <c r="K364" s="16">
        <v>0</v>
      </c>
      <c r="L364" s="16">
        <v>1</v>
      </c>
      <c r="M364" s="16">
        <v>1</v>
      </c>
      <c r="N364" s="16">
        <v>1</v>
      </c>
      <c r="O364" s="16">
        <v>1</v>
      </c>
      <c r="P364" t="s">
        <v>1610</v>
      </c>
      <c r="Q364" t="s">
        <v>1617</v>
      </c>
      <c r="AA364" s="8"/>
      <c r="AB364" s="8"/>
      <c r="AC364" s="8"/>
      <c r="AE364" s="8"/>
      <c r="AF364" s="8"/>
    </row>
    <row r="365" spans="1:32" x14ac:dyDescent="0.15">
      <c r="A365" t="s">
        <v>1862</v>
      </c>
      <c r="B365" t="s">
        <v>1733</v>
      </c>
      <c r="D365">
        <v>1.65</v>
      </c>
      <c r="E365">
        <v>0.52</v>
      </c>
      <c r="F365" t="s">
        <v>2111</v>
      </c>
      <c r="G365" s="16">
        <v>0</v>
      </c>
      <c r="H365" s="16">
        <v>1</v>
      </c>
      <c r="I365" s="16">
        <v>1</v>
      </c>
      <c r="J365" s="16">
        <v>1</v>
      </c>
      <c r="K365" s="16">
        <v>1</v>
      </c>
      <c r="L365" s="16">
        <v>1</v>
      </c>
      <c r="M365" s="16">
        <v>1</v>
      </c>
      <c r="N365" s="16">
        <v>3</v>
      </c>
      <c r="O365" s="16">
        <v>2</v>
      </c>
      <c r="P365" t="s">
        <v>1393</v>
      </c>
      <c r="Q365" t="s">
        <v>1313</v>
      </c>
      <c r="AA365" s="8"/>
      <c r="AB365" s="8"/>
      <c r="AC365" s="8"/>
      <c r="AE365" s="8"/>
      <c r="AF365" s="8"/>
    </row>
    <row r="366" spans="1:32" x14ac:dyDescent="0.15">
      <c r="A366" t="s">
        <v>1913</v>
      </c>
      <c r="B366" t="s">
        <v>1733</v>
      </c>
      <c r="D366">
        <v>7.33</v>
      </c>
      <c r="E366">
        <v>3.01</v>
      </c>
      <c r="F366" t="s">
        <v>2242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1</v>
      </c>
      <c r="N366" s="16">
        <v>2</v>
      </c>
      <c r="O366" s="16">
        <v>2</v>
      </c>
      <c r="P366" t="s">
        <v>1393</v>
      </c>
      <c r="Q366" t="s">
        <v>1313</v>
      </c>
      <c r="R366" t="s">
        <v>2253</v>
      </c>
      <c r="AA366" s="8"/>
      <c r="AB366" s="8"/>
      <c r="AC366" s="8"/>
      <c r="AE366" s="8"/>
      <c r="AF366" s="8"/>
    </row>
    <row r="367" spans="1:32" x14ac:dyDescent="0.15">
      <c r="A367" t="s">
        <v>1944</v>
      </c>
      <c r="B367" t="s">
        <v>1647</v>
      </c>
      <c r="D367">
        <v>7.01</v>
      </c>
      <c r="E367">
        <v>1.07</v>
      </c>
      <c r="F367" t="s">
        <v>2127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1</v>
      </c>
      <c r="M367" s="16">
        <v>1</v>
      </c>
      <c r="N367" s="16">
        <v>1</v>
      </c>
      <c r="O367" s="16">
        <v>1</v>
      </c>
      <c r="P367" t="s">
        <v>1393</v>
      </c>
      <c r="Q367" t="s">
        <v>1313</v>
      </c>
      <c r="R367" t="s">
        <v>2246</v>
      </c>
      <c r="AA367" s="8"/>
      <c r="AB367" s="8"/>
      <c r="AC367" s="8"/>
      <c r="AE367" s="8"/>
      <c r="AF367" s="8"/>
    </row>
    <row r="368" spans="1:32" x14ac:dyDescent="0.15">
      <c r="A368" t="s">
        <v>2062</v>
      </c>
      <c r="B368" t="s">
        <v>1906</v>
      </c>
      <c r="D368">
        <v>2.5499999999999998</v>
      </c>
      <c r="E368">
        <v>0.63</v>
      </c>
      <c r="F368" t="s">
        <v>1907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1</v>
      </c>
      <c r="N368" s="16">
        <v>1</v>
      </c>
      <c r="O368" s="16">
        <v>2</v>
      </c>
      <c r="P368" t="s">
        <v>2150</v>
      </c>
      <c r="Q368" t="s">
        <v>2151</v>
      </c>
      <c r="R368" t="s">
        <v>2344</v>
      </c>
      <c r="AA368" s="8"/>
      <c r="AB368" s="8"/>
      <c r="AC368" s="8"/>
      <c r="AE368" s="8"/>
      <c r="AF368" s="8"/>
    </row>
    <row r="369" spans="1:32" x14ac:dyDescent="0.15">
      <c r="A369" t="s">
        <v>623</v>
      </c>
      <c r="B369" t="s">
        <v>696</v>
      </c>
      <c r="D369">
        <v>2.71</v>
      </c>
      <c r="E369">
        <v>0.89</v>
      </c>
      <c r="F369" t="s">
        <v>776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1</v>
      </c>
      <c r="M369" s="16">
        <v>1</v>
      </c>
      <c r="N369" s="16">
        <v>1</v>
      </c>
      <c r="O369" s="16">
        <v>2</v>
      </c>
      <c r="P369" t="s">
        <v>777</v>
      </c>
      <c r="Q369" t="s">
        <v>637</v>
      </c>
      <c r="R369" t="s">
        <v>2314</v>
      </c>
      <c r="AA369" s="8"/>
      <c r="AB369" s="8"/>
      <c r="AC369" s="8"/>
      <c r="AE369" s="8"/>
      <c r="AF369" s="8"/>
    </row>
    <row r="370" spans="1:32" x14ac:dyDescent="0.15">
      <c r="A370" t="s">
        <v>855</v>
      </c>
      <c r="B370" t="s">
        <v>856</v>
      </c>
      <c r="D370">
        <f>0.42*12.75</f>
        <v>5.3549999999999995</v>
      </c>
      <c r="E370">
        <f>0.42*3.01</f>
        <v>1.2641999999999998</v>
      </c>
      <c r="F370" t="s">
        <v>943</v>
      </c>
      <c r="G370" s="16">
        <v>2</v>
      </c>
      <c r="H370" s="16">
        <v>0</v>
      </c>
      <c r="I370" s="16">
        <v>0</v>
      </c>
      <c r="J370" s="16">
        <v>0</v>
      </c>
      <c r="K370" s="16">
        <v>0</v>
      </c>
      <c r="L370" s="16">
        <v>1</v>
      </c>
      <c r="M370" s="16">
        <v>1</v>
      </c>
      <c r="N370" s="16">
        <v>2</v>
      </c>
      <c r="O370" s="16">
        <v>2</v>
      </c>
      <c r="P370" t="s">
        <v>798</v>
      </c>
      <c r="Q370" t="s">
        <v>799</v>
      </c>
      <c r="R370" t="s">
        <v>2264</v>
      </c>
      <c r="AA370" s="8"/>
      <c r="AB370" s="8"/>
      <c r="AC370" s="8"/>
      <c r="AE370" s="8"/>
      <c r="AF370" s="8"/>
    </row>
    <row r="371" spans="1:32" x14ac:dyDescent="0.15">
      <c r="A371" t="s">
        <v>716</v>
      </c>
      <c r="B371" t="s">
        <v>717</v>
      </c>
      <c r="D371">
        <v>1.1100000000000001</v>
      </c>
      <c r="E371">
        <v>0.35</v>
      </c>
      <c r="F371" t="s">
        <v>548</v>
      </c>
      <c r="G371" s="16">
        <v>2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1</v>
      </c>
      <c r="O371" s="16">
        <v>2</v>
      </c>
      <c r="P371" t="s">
        <v>798</v>
      </c>
      <c r="Q371" t="s">
        <v>765</v>
      </c>
      <c r="AA371" s="8"/>
      <c r="AB371" s="8"/>
      <c r="AC371" s="8"/>
      <c r="AE371" s="8"/>
      <c r="AF371" s="8"/>
    </row>
    <row r="372" spans="1:32" x14ac:dyDescent="0.15">
      <c r="A372" t="s">
        <v>549</v>
      </c>
      <c r="B372" t="s">
        <v>550</v>
      </c>
      <c r="D372">
        <v>1.03</v>
      </c>
      <c r="E372">
        <v>0.47</v>
      </c>
      <c r="F372" t="s">
        <v>551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1</v>
      </c>
      <c r="N372" s="16">
        <v>2</v>
      </c>
      <c r="O372" s="16">
        <v>1</v>
      </c>
      <c r="P372" t="s">
        <v>552</v>
      </c>
      <c r="Q372" t="s">
        <v>637</v>
      </c>
      <c r="AA372" s="8"/>
      <c r="AB372" s="8"/>
      <c r="AC372" s="8"/>
      <c r="AE372" s="8"/>
      <c r="AF372" s="8"/>
    </row>
    <row r="373" spans="1:32" x14ac:dyDescent="0.15">
      <c r="A373" t="s">
        <v>701</v>
      </c>
      <c r="B373" t="s">
        <v>550</v>
      </c>
      <c r="D373">
        <f>0.42*19.8</f>
        <v>8.3160000000000007</v>
      </c>
      <c r="E373">
        <f>0.42*0.43</f>
        <v>0.18059999999999998</v>
      </c>
      <c r="F373" t="s">
        <v>697</v>
      </c>
      <c r="G373" s="16">
        <v>0</v>
      </c>
      <c r="H373" s="16">
        <v>0</v>
      </c>
      <c r="I373" s="16">
        <v>0</v>
      </c>
      <c r="J373" s="16">
        <v>1</v>
      </c>
      <c r="K373" s="16">
        <v>2</v>
      </c>
      <c r="L373" s="16">
        <v>0</v>
      </c>
      <c r="M373" s="16">
        <v>0</v>
      </c>
      <c r="N373" s="16">
        <v>0</v>
      </c>
      <c r="O373" s="16">
        <v>0</v>
      </c>
      <c r="P373" t="s">
        <v>698</v>
      </c>
      <c r="Q373" t="s">
        <v>699</v>
      </c>
      <c r="R373" t="s">
        <v>2275</v>
      </c>
      <c r="AA373" s="8"/>
      <c r="AB373" s="8"/>
      <c r="AC373" s="8"/>
      <c r="AE373" s="8"/>
      <c r="AF373" s="8"/>
    </row>
    <row r="374" spans="1:32" x14ac:dyDescent="0.15">
      <c r="A374" t="s">
        <v>478</v>
      </c>
      <c r="B374" t="s">
        <v>717</v>
      </c>
      <c r="D374">
        <v>1.62</v>
      </c>
      <c r="E374">
        <v>0.44</v>
      </c>
      <c r="F374" t="s">
        <v>479</v>
      </c>
      <c r="G374" s="16">
        <v>0</v>
      </c>
      <c r="H374" s="16">
        <v>3</v>
      </c>
      <c r="I374" s="16">
        <v>1</v>
      </c>
      <c r="J374" s="16">
        <v>1</v>
      </c>
      <c r="K374" s="16">
        <v>1</v>
      </c>
      <c r="L374" s="16">
        <v>0</v>
      </c>
      <c r="M374" s="16">
        <v>1</v>
      </c>
      <c r="N374" s="16">
        <v>2</v>
      </c>
      <c r="O374" s="16">
        <v>1</v>
      </c>
      <c r="P374" t="s">
        <v>740</v>
      </c>
      <c r="Q374" t="s">
        <v>559</v>
      </c>
      <c r="AA374" s="8"/>
      <c r="AB374" s="8"/>
      <c r="AC374" s="8"/>
      <c r="AE374" s="8"/>
      <c r="AF374" s="8"/>
    </row>
    <row r="375" spans="1:32" x14ac:dyDescent="0.15">
      <c r="A375" t="s">
        <v>632</v>
      </c>
      <c r="B375" t="s">
        <v>550</v>
      </c>
      <c r="D375">
        <f>0.42*7.91</f>
        <v>3.3222</v>
      </c>
      <c r="E375">
        <f>0.42*2.59</f>
        <v>1.0877999999999999</v>
      </c>
      <c r="F375" t="s">
        <v>461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1</v>
      </c>
      <c r="M375" s="16">
        <v>1</v>
      </c>
      <c r="N375" s="16">
        <v>2</v>
      </c>
      <c r="O375" s="16">
        <v>1</v>
      </c>
      <c r="P375" t="s">
        <v>798</v>
      </c>
      <c r="Q375" t="s">
        <v>637</v>
      </c>
      <c r="AA375" s="8"/>
      <c r="AB375" s="8"/>
      <c r="AC375" s="8"/>
      <c r="AE375" s="8"/>
      <c r="AF375" s="8"/>
    </row>
    <row r="376" spans="1:32" x14ac:dyDescent="0.15">
      <c r="A376" t="s">
        <v>464</v>
      </c>
      <c r="B376" t="s">
        <v>463</v>
      </c>
      <c r="D376">
        <f>0.42*5.36</f>
        <v>2.2511999999999999</v>
      </c>
      <c r="E376">
        <f>0.42*1.76</f>
        <v>0.73919999999999997</v>
      </c>
      <c r="F376" t="s">
        <v>462</v>
      </c>
      <c r="G376" s="16">
        <v>1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1</v>
      </c>
      <c r="N376" s="16">
        <v>1</v>
      </c>
      <c r="O376" s="16">
        <v>1</v>
      </c>
      <c r="P376" t="s">
        <v>798</v>
      </c>
      <c r="Q376" t="s">
        <v>799</v>
      </c>
      <c r="R376" t="s">
        <v>2277</v>
      </c>
      <c r="AA376" s="8"/>
      <c r="AB376" s="8"/>
      <c r="AC376" s="8"/>
      <c r="AE376" s="8"/>
      <c r="AF376" s="8"/>
    </row>
    <row r="377" spans="1:32" x14ac:dyDescent="0.15">
      <c r="A377" t="s">
        <v>538</v>
      </c>
      <c r="B377" t="s">
        <v>856</v>
      </c>
      <c r="D377">
        <f>13.8*0.43</f>
        <v>5.9340000000000002</v>
      </c>
      <c r="E377">
        <f>2.67*0.43</f>
        <v>1.1480999999999999</v>
      </c>
      <c r="F377" t="s">
        <v>539</v>
      </c>
      <c r="G377" s="16">
        <v>2</v>
      </c>
      <c r="H377" s="16">
        <v>0</v>
      </c>
      <c r="I377" s="16">
        <v>0</v>
      </c>
      <c r="J377" s="16">
        <v>0</v>
      </c>
      <c r="K377" s="16">
        <v>0</v>
      </c>
      <c r="L377" s="16">
        <v>1</v>
      </c>
      <c r="M377" s="16">
        <v>1</v>
      </c>
      <c r="N377" s="16">
        <v>2</v>
      </c>
      <c r="O377" s="16">
        <v>1</v>
      </c>
      <c r="P377" t="s">
        <v>798</v>
      </c>
      <c r="Q377" t="s">
        <v>799</v>
      </c>
      <c r="R377" t="s">
        <v>2336</v>
      </c>
      <c r="AA377" s="8"/>
      <c r="AB377" s="8"/>
      <c r="AC377" s="8"/>
      <c r="AE377" s="8"/>
      <c r="AF377" s="8"/>
    </row>
    <row r="378" spans="1:32" x14ac:dyDescent="0.15">
      <c r="A378" t="s">
        <v>543</v>
      </c>
      <c r="B378" t="s">
        <v>544</v>
      </c>
      <c r="D378">
        <v>2.64</v>
      </c>
      <c r="E378">
        <v>0.88</v>
      </c>
      <c r="F378" t="s">
        <v>545</v>
      </c>
      <c r="G378" s="16">
        <v>0</v>
      </c>
      <c r="H378" s="16">
        <v>2</v>
      </c>
      <c r="I378" s="16">
        <v>1</v>
      </c>
      <c r="J378" s="16">
        <v>0</v>
      </c>
      <c r="K378" s="16">
        <v>0</v>
      </c>
      <c r="L378" s="16">
        <v>1</v>
      </c>
      <c r="M378" s="16">
        <v>1</v>
      </c>
      <c r="N378" s="16">
        <v>1</v>
      </c>
      <c r="O378" s="16">
        <v>2</v>
      </c>
      <c r="P378" t="s">
        <v>798</v>
      </c>
      <c r="Q378" t="s">
        <v>637</v>
      </c>
      <c r="R378" t="s">
        <v>2376</v>
      </c>
      <c r="AA378" s="8"/>
      <c r="AB378" s="8"/>
      <c r="AC378" s="8"/>
      <c r="AE378" s="8"/>
      <c r="AF378" s="8"/>
    </row>
    <row r="379" spans="1:32" x14ac:dyDescent="0.15">
      <c r="A379" t="s">
        <v>597</v>
      </c>
      <c r="B379" t="s">
        <v>598</v>
      </c>
      <c r="D379">
        <f>0.42*4.94</f>
        <v>2.0748000000000002</v>
      </c>
      <c r="E379">
        <f>0.42*1.28</f>
        <v>0.53759999999999997</v>
      </c>
      <c r="F379" t="s">
        <v>599</v>
      </c>
      <c r="G379" s="16">
        <v>0</v>
      </c>
      <c r="H379" s="16">
        <v>1</v>
      </c>
      <c r="I379" s="16">
        <v>1</v>
      </c>
      <c r="J379" s="16">
        <v>0</v>
      </c>
      <c r="K379" s="16">
        <v>0</v>
      </c>
      <c r="L379" s="16">
        <v>0</v>
      </c>
      <c r="M379" s="16">
        <v>1</v>
      </c>
      <c r="N379" s="16">
        <v>1</v>
      </c>
      <c r="O379" s="16">
        <v>2</v>
      </c>
      <c r="P379" t="s">
        <v>694</v>
      </c>
      <c r="Q379" t="s">
        <v>600</v>
      </c>
      <c r="AA379" s="8"/>
      <c r="AB379" s="8"/>
      <c r="AC379" s="8"/>
      <c r="AE379" s="8"/>
      <c r="AF379" s="8"/>
    </row>
    <row r="380" spans="1:32" x14ac:dyDescent="0.15">
      <c r="A380" t="s">
        <v>483</v>
      </c>
      <c r="B380" t="s">
        <v>424</v>
      </c>
      <c r="C380" s="8" t="s">
        <v>164</v>
      </c>
      <c r="D380">
        <f>0.42*7.82</f>
        <v>3.2844000000000002</v>
      </c>
      <c r="E380">
        <f>0.42*2.34</f>
        <v>0.9827999999999999</v>
      </c>
      <c r="F380" t="s">
        <v>482</v>
      </c>
      <c r="G380" s="16">
        <v>2</v>
      </c>
      <c r="H380" s="16">
        <v>3</v>
      </c>
      <c r="I380" s="16">
        <v>2</v>
      </c>
      <c r="J380" s="16">
        <v>0</v>
      </c>
      <c r="K380" s="16">
        <v>0</v>
      </c>
      <c r="L380" s="16">
        <v>1</v>
      </c>
      <c r="M380" s="16">
        <v>1</v>
      </c>
      <c r="N380" s="16">
        <v>1</v>
      </c>
      <c r="O380" s="16">
        <v>2</v>
      </c>
      <c r="P380" t="s">
        <v>740</v>
      </c>
      <c r="Q380" t="s">
        <v>660</v>
      </c>
      <c r="R380" t="s">
        <v>2308</v>
      </c>
      <c r="AA380" s="8"/>
      <c r="AB380" s="8"/>
      <c r="AC380" s="8"/>
      <c r="AE380" s="8"/>
      <c r="AF380" s="8"/>
    </row>
    <row r="381" spans="1:32" x14ac:dyDescent="0.15">
      <c r="A381" t="s">
        <v>476</v>
      </c>
      <c r="B381" t="s">
        <v>652</v>
      </c>
      <c r="C381" s="8" t="s">
        <v>164</v>
      </c>
      <c r="D381">
        <f>0.42*8.22</f>
        <v>3.4524000000000004</v>
      </c>
      <c r="E381">
        <f>0.42*1.79</f>
        <v>0.75180000000000002</v>
      </c>
      <c r="F381" t="s">
        <v>653</v>
      </c>
      <c r="G381" s="16">
        <v>2</v>
      </c>
      <c r="H381" s="16">
        <v>0</v>
      </c>
      <c r="I381" s="16">
        <v>0</v>
      </c>
      <c r="J381" s="16">
        <v>1</v>
      </c>
      <c r="K381" s="16">
        <v>1</v>
      </c>
      <c r="L381" s="16">
        <v>1</v>
      </c>
      <c r="M381" s="16">
        <v>1</v>
      </c>
      <c r="N381" s="16">
        <v>1</v>
      </c>
      <c r="O381" s="16">
        <v>0</v>
      </c>
      <c r="P381" t="s">
        <v>798</v>
      </c>
      <c r="Q381" t="s">
        <v>794</v>
      </c>
      <c r="R381" t="s">
        <v>2325</v>
      </c>
      <c r="AA381" s="8"/>
      <c r="AB381" s="8"/>
      <c r="AC381" s="8"/>
      <c r="AE381" s="8"/>
      <c r="AF381" s="8"/>
    </row>
    <row r="382" spans="1:32" x14ac:dyDescent="0.15">
      <c r="A382" t="s">
        <v>301</v>
      </c>
      <c r="B382" t="s">
        <v>455</v>
      </c>
      <c r="C382" s="8" t="s">
        <v>156</v>
      </c>
      <c r="D382">
        <f>0.42*6.26</f>
        <v>2.6292</v>
      </c>
      <c r="E382">
        <f>0.42*2.57</f>
        <v>1.0793999999999999</v>
      </c>
      <c r="F382" t="s">
        <v>456</v>
      </c>
      <c r="G382" s="16">
        <v>2</v>
      </c>
      <c r="H382" s="16">
        <v>2</v>
      </c>
      <c r="I382" s="16">
        <v>4</v>
      </c>
      <c r="J382" s="16">
        <v>0</v>
      </c>
      <c r="K382" s="16">
        <v>0</v>
      </c>
      <c r="L382" s="16">
        <v>1</v>
      </c>
      <c r="M382" s="16">
        <v>1</v>
      </c>
      <c r="N382" s="16">
        <v>2</v>
      </c>
      <c r="O382" s="16">
        <v>1</v>
      </c>
      <c r="P382" t="s">
        <v>467</v>
      </c>
      <c r="Q382" t="s">
        <v>799</v>
      </c>
      <c r="R382" t="s">
        <v>2320</v>
      </c>
      <c r="AA382" s="8"/>
      <c r="AB382" s="8"/>
      <c r="AC382" s="8"/>
      <c r="AE382" s="8"/>
      <c r="AF382" s="8"/>
    </row>
    <row r="383" spans="1:32" x14ac:dyDescent="0.15">
      <c r="A383" t="s">
        <v>1039</v>
      </c>
      <c r="B383" t="s">
        <v>1040</v>
      </c>
      <c r="C383" s="8" t="s">
        <v>156</v>
      </c>
      <c r="D383">
        <v>3.02</v>
      </c>
      <c r="E383">
        <v>1.22</v>
      </c>
      <c r="F383" t="s">
        <v>1882</v>
      </c>
      <c r="G383" s="16">
        <v>2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2</v>
      </c>
      <c r="O383" s="16">
        <v>2</v>
      </c>
      <c r="P383" t="s">
        <v>1081</v>
      </c>
      <c r="Q383" t="s">
        <v>1041</v>
      </c>
      <c r="AA383" s="8"/>
      <c r="AB383" s="8"/>
      <c r="AC383" s="8"/>
      <c r="AE383" s="8"/>
      <c r="AF383" s="8"/>
    </row>
    <row r="384" spans="1:32" x14ac:dyDescent="0.15">
      <c r="A384" t="s">
        <v>1133</v>
      </c>
      <c r="B384" t="s">
        <v>882</v>
      </c>
      <c r="C384" s="8" t="s">
        <v>156</v>
      </c>
      <c r="D384">
        <v>1.55</v>
      </c>
      <c r="E384">
        <v>0.65</v>
      </c>
      <c r="F384" t="s">
        <v>1866</v>
      </c>
      <c r="G384" s="16">
        <v>0</v>
      </c>
      <c r="H384" s="16">
        <v>1</v>
      </c>
      <c r="I384" s="16">
        <v>1</v>
      </c>
      <c r="J384" s="16">
        <v>0</v>
      </c>
      <c r="K384" s="16">
        <v>0</v>
      </c>
      <c r="L384" s="16">
        <v>1</v>
      </c>
      <c r="M384" s="16">
        <v>1</v>
      </c>
      <c r="N384" s="16">
        <v>2</v>
      </c>
      <c r="O384" s="16">
        <v>2</v>
      </c>
      <c r="P384" t="s">
        <v>898</v>
      </c>
      <c r="Q384" t="s">
        <v>733</v>
      </c>
      <c r="R384" t="s">
        <v>1984</v>
      </c>
      <c r="AA384" s="8"/>
      <c r="AB384" s="8"/>
      <c r="AC384" s="8"/>
      <c r="AE384" s="8"/>
      <c r="AF384" s="8"/>
    </row>
    <row r="385" spans="1:32" x14ac:dyDescent="0.15">
      <c r="A385" t="s">
        <v>2259</v>
      </c>
      <c r="B385" t="s">
        <v>2076</v>
      </c>
      <c r="C385" s="8" t="s">
        <v>158</v>
      </c>
      <c r="D385">
        <v>2.76</v>
      </c>
      <c r="E385">
        <v>0.97</v>
      </c>
      <c r="F385" t="s">
        <v>2260</v>
      </c>
      <c r="G385" s="16">
        <v>3</v>
      </c>
      <c r="H385" s="16">
        <v>4</v>
      </c>
      <c r="I385" s="16">
        <v>4</v>
      </c>
      <c r="J385" s="16">
        <v>1</v>
      </c>
      <c r="K385" s="16">
        <v>1</v>
      </c>
      <c r="L385" s="16">
        <v>2</v>
      </c>
      <c r="M385" s="16">
        <v>2</v>
      </c>
      <c r="N385" s="16">
        <v>4</v>
      </c>
      <c r="O385" s="16">
        <v>3</v>
      </c>
      <c r="P385" t="s">
        <v>1142</v>
      </c>
      <c r="Q385" t="s">
        <v>812</v>
      </c>
      <c r="R385" t="s">
        <v>2250</v>
      </c>
      <c r="AA385" s="8"/>
      <c r="AB385" s="8"/>
      <c r="AC385" s="8"/>
      <c r="AE385" s="8"/>
      <c r="AF385" s="8"/>
    </row>
    <row r="386" spans="1:32" x14ac:dyDescent="0.15">
      <c r="A386" t="s">
        <v>1847</v>
      </c>
      <c r="B386" t="s">
        <v>2076</v>
      </c>
      <c r="C386" s="8" t="s">
        <v>158</v>
      </c>
      <c r="D386">
        <v>1.65</v>
      </c>
      <c r="E386">
        <v>0.56999999999999995</v>
      </c>
      <c r="F386" t="s">
        <v>2075</v>
      </c>
      <c r="G386" s="16">
        <v>4</v>
      </c>
      <c r="H386" s="16">
        <v>2</v>
      </c>
      <c r="I386" s="16">
        <v>1</v>
      </c>
      <c r="J386" s="16">
        <v>2</v>
      </c>
      <c r="K386" s="16">
        <v>1</v>
      </c>
      <c r="L386" s="16">
        <v>1</v>
      </c>
      <c r="M386" s="16">
        <v>1</v>
      </c>
      <c r="N386" s="16">
        <v>4</v>
      </c>
      <c r="O386" s="16">
        <v>3</v>
      </c>
      <c r="P386" t="s">
        <v>1799</v>
      </c>
      <c r="Q386" t="s">
        <v>1613</v>
      </c>
      <c r="R386" t="s">
        <v>2239</v>
      </c>
      <c r="AA386" s="8"/>
      <c r="AB386" s="8"/>
      <c r="AC386" s="8"/>
      <c r="AE386" s="8"/>
      <c r="AF386" s="8"/>
    </row>
    <row r="387" spans="1:32" x14ac:dyDescent="0.15">
      <c r="A387" t="s">
        <v>756</v>
      </c>
      <c r="B387" t="s">
        <v>752</v>
      </c>
      <c r="C387" s="8" t="s">
        <v>158</v>
      </c>
      <c r="D387">
        <v>1.6</v>
      </c>
      <c r="E387">
        <v>0.69</v>
      </c>
      <c r="F387" t="s">
        <v>753</v>
      </c>
      <c r="G387" s="16">
        <v>3</v>
      </c>
      <c r="H387" s="16">
        <v>3</v>
      </c>
      <c r="I387" s="16">
        <v>4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3</v>
      </c>
      <c r="P387" t="s">
        <v>754</v>
      </c>
      <c r="Q387" t="s">
        <v>755</v>
      </c>
      <c r="R387" t="s">
        <v>2346</v>
      </c>
      <c r="AA387" s="8"/>
      <c r="AB387" s="8"/>
      <c r="AC387" s="8"/>
      <c r="AE387" s="8"/>
      <c r="AF387" s="8"/>
    </row>
    <row r="388" spans="1:32" x14ac:dyDescent="0.15">
      <c r="A388" t="s">
        <v>674</v>
      </c>
      <c r="B388" t="s">
        <v>616</v>
      </c>
      <c r="C388" s="8" t="s">
        <v>158</v>
      </c>
      <c r="D388">
        <f>0.42*5.96</f>
        <v>2.5032000000000001</v>
      </c>
      <c r="E388">
        <f>0.42*2.5</f>
        <v>1.05</v>
      </c>
      <c r="F388" t="s">
        <v>617</v>
      </c>
      <c r="G388" s="16">
        <v>3</v>
      </c>
      <c r="H388" s="16">
        <v>0</v>
      </c>
      <c r="I388" s="16">
        <v>0</v>
      </c>
      <c r="J388" s="16">
        <v>1</v>
      </c>
      <c r="K388" s="16">
        <v>1</v>
      </c>
      <c r="L388" s="16">
        <v>0</v>
      </c>
      <c r="M388" s="16">
        <v>2</v>
      </c>
      <c r="N388" s="16">
        <v>4</v>
      </c>
      <c r="O388" s="16">
        <v>3</v>
      </c>
      <c r="P388" t="s">
        <v>798</v>
      </c>
      <c r="Q388" t="s">
        <v>799</v>
      </c>
      <c r="R388" t="s">
        <v>2331</v>
      </c>
      <c r="AA388" s="8"/>
      <c r="AB388" s="8"/>
      <c r="AC388" s="8"/>
      <c r="AE388" s="8"/>
      <c r="AF388" s="8"/>
    </row>
    <row r="389" spans="1:32" x14ac:dyDescent="0.15">
      <c r="A389" t="s">
        <v>1918</v>
      </c>
      <c r="B389" t="s">
        <v>1912</v>
      </c>
      <c r="C389" s="8" t="s">
        <v>158</v>
      </c>
      <c r="D389">
        <v>2.5099999999999998</v>
      </c>
      <c r="E389">
        <v>1.01</v>
      </c>
      <c r="F389" t="s">
        <v>2329</v>
      </c>
      <c r="G389" s="16">
        <v>3</v>
      </c>
      <c r="H389" s="16">
        <v>0</v>
      </c>
      <c r="I389" s="16">
        <v>0</v>
      </c>
      <c r="J389" s="16">
        <v>2</v>
      </c>
      <c r="K389" s="16">
        <v>1</v>
      </c>
      <c r="L389" s="16">
        <v>1</v>
      </c>
      <c r="M389" s="16">
        <v>1</v>
      </c>
      <c r="N389" s="16">
        <v>2</v>
      </c>
      <c r="O389" s="16">
        <v>1</v>
      </c>
      <c r="P389" t="s">
        <v>1393</v>
      </c>
      <c r="Q389" t="s">
        <v>1613</v>
      </c>
      <c r="AA389" s="8"/>
      <c r="AB389" s="8"/>
      <c r="AC389" s="8"/>
      <c r="AE389" s="8"/>
      <c r="AF389" s="8"/>
    </row>
    <row r="390" spans="1:32" x14ac:dyDescent="0.15">
      <c r="A390" t="s">
        <v>989</v>
      </c>
      <c r="B390" t="s">
        <v>289</v>
      </c>
      <c r="C390" s="8" t="s">
        <v>158</v>
      </c>
      <c r="D390">
        <v>1.96</v>
      </c>
      <c r="E390">
        <v>0.54</v>
      </c>
      <c r="F390" s="8" t="s">
        <v>904</v>
      </c>
      <c r="G390" s="16">
        <v>3</v>
      </c>
      <c r="H390" s="16">
        <v>3</v>
      </c>
      <c r="I390" s="16">
        <v>1</v>
      </c>
      <c r="J390" s="16">
        <v>0</v>
      </c>
      <c r="K390" s="16">
        <v>0</v>
      </c>
      <c r="L390" s="16">
        <v>0</v>
      </c>
      <c r="M390" s="16">
        <v>1</v>
      </c>
      <c r="N390" s="16">
        <v>2</v>
      </c>
      <c r="O390" s="16">
        <v>2</v>
      </c>
      <c r="P390" t="s">
        <v>888</v>
      </c>
      <c r="Q390" t="s">
        <v>886</v>
      </c>
      <c r="R390" t="s">
        <v>290</v>
      </c>
      <c r="AA390" s="8"/>
      <c r="AB390" s="8"/>
      <c r="AC390" s="8"/>
      <c r="AE390" s="8"/>
      <c r="AF390" s="8"/>
    </row>
    <row r="391" spans="1:32" x14ac:dyDescent="0.15">
      <c r="A391" t="s">
        <v>1635</v>
      </c>
      <c r="B391" t="s">
        <v>289</v>
      </c>
      <c r="C391" s="8" t="s">
        <v>158</v>
      </c>
      <c r="D391">
        <v>2.2999999999999998</v>
      </c>
      <c r="E391">
        <v>0.82</v>
      </c>
      <c r="F391" t="s">
        <v>2040</v>
      </c>
      <c r="G391" s="16">
        <v>0</v>
      </c>
      <c r="H391" s="16">
        <v>5</v>
      </c>
      <c r="I391" s="16">
        <v>1</v>
      </c>
      <c r="J391" s="16">
        <v>2</v>
      </c>
      <c r="K391" s="16">
        <v>2</v>
      </c>
      <c r="L391" s="16">
        <v>1</v>
      </c>
      <c r="M391" s="16">
        <v>1</v>
      </c>
      <c r="N391" s="16">
        <v>2</v>
      </c>
      <c r="O391" s="16">
        <v>2</v>
      </c>
      <c r="P391" t="s">
        <v>1637</v>
      </c>
      <c r="Q391" t="s">
        <v>1602</v>
      </c>
      <c r="AA391" s="8"/>
      <c r="AB391" s="8"/>
      <c r="AC391" s="8"/>
      <c r="AE391" s="8"/>
      <c r="AF391" s="8"/>
    </row>
    <row r="392" spans="1:32" x14ac:dyDescent="0.15">
      <c r="A392" t="s">
        <v>1671</v>
      </c>
      <c r="B392" t="s">
        <v>1672</v>
      </c>
      <c r="C392" s="8" t="s">
        <v>158</v>
      </c>
      <c r="D392">
        <v>2.16</v>
      </c>
      <c r="E392">
        <v>0.48</v>
      </c>
      <c r="F392" t="s">
        <v>2182</v>
      </c>
      <c r="G392" s="16">
        <v>4</v>
      </c>
      <c r="H392" s="16">
        <v>2</v>
      </c>
      <c r="I392" s="16">
        <v>4</v>
      </c>
      <c r="J392" s="16">
        <v>1</v>
      </c>
      <c r="K392" s="16">
        <v>1</v>
      </c>
      <c r="L392" s="16">
        <v>0</v>
      </c>
      <c r="M392" s="16">
        <v>1</v>
      </c>
      <c r="N392" s="16">
        <v>4</v>
      </c>
      <c r="O392" s="16">
        <v>3</v>
      </c>
      <c r="P392" t="s">
        <v>1720</v>
      </c>
      <c r="Q392" t="s">
        <v>1617</v>
      </c>
      <c r="R392" t="s">
        <v>2248</v>
      </c>
      <c r="AA392" s="8"/>
      <c r="AB392" s="8"/>
      <c r="AC392" s="8"/>
      <c r="AE392" s="8"/>
      <c r="AF392" s="8"/>
    </row>
    <row r="393" spans="1:32" x14ac:dyDescent="0.15">
      <c r="A393" t="s">
        <v>1894</v>
      </c>
      <c r="B393" t="s">
        <v>1672</v>
      </c>
      <c r="C393" s="8" t="s">
        <v>158</v>
      </c>
      <c r="D393">
        <v>1.24</v>
      </c>
      <c r="E393">
        <v>0.64</v>
      </c>
      <c r="F393" t="s">
        <v>2119</v>
      </c>
      <c r="G393" s="16">
        <v>4</v>
      </c>
      <c r="H393" s="16">
        <v>1</v>
      </c>
      <c r="I393" s="16">
        <v>1</v>
      </c>
      <c r="J393" s="16">
        <v>0</v>
      </c>
      <c r="K393" s="16">
        <v>0</v>
      </c>
      <c r="L393" s="16">
        <v>0</v>
      </c>
      <c r="M393" s="16">
        <v>0</v>
      </c>
      <c r="N393" s="16">
        <v>2</v>
      </c>
      <c r="O393" s="16">
        <v>0</v>
      </c>
      <c r="P393" t="s">
        <v>1393</v>
      </c>
      <c r="Q393" t="s">
        <v>1895</v>
      </c>
      <c r="AA393" s="8"/>
      <c r="AB393" s="8"/>
      <c r="AC393" s="8"/>
      <c r="AE393" s="8"/>
      <c r="AF393" s="8"/>
    </row>
    <row r="394" spans="1:32" x14ac:dyDescent="0.15">
      <c r="A394" t="s">
        <v>2226</v>
      </c>
      <c r="B394" t="s">
        <v>2341</v>
      </c>
      <c r="C394" s="8" t="s">
        <v>158</v>
      </c>
      <c r="D394">
        <f>0.42*4.03</f>
        <v>1.6926000000000001</v>
      </c>
      <c r="E394">
        <f>0.42*1.31</f>
        <v>0.55020000000000002</v>
      </c>
      <c r="F394" t="s">
        <v>2096</v>
      </c>
      <c r="G394" s="16">
        <v>2</v>
      </c>
      <c r="H394" s="16">
        <v>6</v>
      </c>
      <c r="I394" s="16">
        <v>1</v>
      </c>
      <c r="J394" s="16">
        <v>2</v>
      </c>
      <c r="K394" s="16">
        <v>2</v>
      </c>
      <c r="L394" s="16">
        <v>1</v>
      </c>
      <c r="M394" s="16">
        <v>1</v>
      </c>
      <c r="N394" s="16">
        <v>2</v>
      </c>
      <c r="O394" s="16">
        <v>2</v>
      </c>
      <c r="P394" t="s">
        <v>2228</v>
      </c>
      <c r="Q394" t="s">
        <v>2229</v>
      </c>
      <c r="AA394" s="8"/>
      <c r="AB394" s="8"/>
      <c r="AC394" s="8"/>
      <c r="AE394" s="8"/>
      <c r="AF394" s="8"/>
    </row>
    <row r="395" spans="1:32" x14ac:dyDescent="0.15">
      <c r="A395" t="s">
        <v>742</v>
      </c>
      <c r="B395" t="s">
        <v>743</v>
      </c>
      <c r="C395" s="8" t="s">
        <v>158</v>
      </c>
      <c r="D395">
        <f>5.59*0.43</f>
        <v>2.4036999999999997</v>
      </c>
      <c r="E395">
        <f>1.5*0.43</f>
        <v>0.64500000000000002</v>
      </c>
      <c r="F395" t="s">
        <v>822</v>
      </c>
      <c r="G395" s="16">
        <v>4</v>
      </c>
      <c r="H395" s="16">
        <v>5</v>
      </c>
      <c r="I395" s="16">
        <v>4</v>
      </c>
      <c r="J395" s="16">
        <v>2</v>
      </c>
      <c r="K395" s="16">
        <v>2</v>
      </c>
      <c r="L395" s="16">
        <v>1</v>
      </c>
      <c r="M395" s="16">
        <v>1</v>
      </c>
      <c r="N395" s="16">
        <v>2</v>
      </c>
      <c r="O395" s="16">
        <v>2</v>
      </c>
      <c r="P395" t="s">
        <v>740</v>
      </c>
      <c r="Q395" t="s">
        <v>660</v>
      </c>
      <c r="R395" t="s">
        <v>2334</v>
      </c>
      <c r="AA395" s="8"/>
      <c r="AB395" s="8"/>
      <c r="AC395" s="8"/>
      <c r="AE395" s="8"/>
      <c r="AF395" s="8"/>
    </row>
    <row r="396" spans="1:32" x14ac:dyDescent="0.15">
      <c r="A396" t="s">
        <v>676</v>
      </c>
      <c r="B396" t="s">
        <v>666</v>
      </c>
      <c r="C396" s="8" t="s">
        <v>158</v>
      </c>
      <c r="D396">
        <f>0.42*2.88</f>
        <v>1.2096</v>
      </c>
      <c r="E396">
        <f>0.42*1.04</f>
        <v>0.43680000000000002</v>
      </c>
      <c r="F396" t="s">
        <v>667</v>
      </c>
      <c r="G396" s="16">
        <v>0</v>
      </c>
      <c r="H396" s="16">
        <v>3</v>
      </c>
      <c r="I396" s="16">
        <v>4</v>
      </c>
      <c r="J396" s="16">
        <v>1</v>
      </c>
      <c r="K396" s="16">
        <v>2</v>
      </c>
      <c r="L396" s="16">
        <v>0</v>
      </c>
      <c r="M396" s="16">
        <v>0</v>
      </c>
      <c r="N396" s="16">
        <v>0</v>
      </c>
      <c r="O396" s="16">
        <v>3</v>
      </c>
      <c r="P396" t="s">
        <v>694</v>
      </c>
      <c r="Q396" t="s">
        <v>669</v>
      </c>
      <c r="R396" t="s">
        <v>2276</v>
      </c>
      <c r="AA396" s="8"/>
      <c r="AB396" s="8"/>
      <c r="AC396" s="8"/>
      <c r="AE396" s="8"/>
      <c r="AF396" s="8"/>
    </row>
    <row r="397" spans="1:32" x14ac:dyDescent="0.15">
      <c r="A397" t="s">
        <v>609</v>
      </c>
      <c r="B397" t="s">
        <v>465</v>
      </c>
      <c r="C397" s="8" t="s">
        <v>158</v>
      </c>
      <c r="D397">
        <f>0.42*6.76</f>
        <v>2.8391999999999999</v>
      </c>
      <c r="E397">
        <f>0.42*1.69</f>
        <v>0.70979999999999999</v>
      </c>
      <c r="F397" t="s">
        <v>466</v>
      </c>
      <c r="G397" s="16">
        <v>3</v>
      </c>
      <c r="H397" s="16">
        <v>5</v>
      </c>
      <c r="I397" s="16">
        <v>1</v>
      </c>
      <c r="J397" s="16">
        <v>0</v>
      </c>
      <c r="K397" s="16">
        <v>0</v>
      </c>
      <c r="L397" s="16">
        <v>0</v>
      </c>
      <c r="M397" s="16">
        <v>0</v>
      </c>
      <c r="N397" s="16">
        <v>1</v>
      </c>
      <c r="O397" s="16">
        <v>1</v>
      </c>
      <c r="P397" t="s">
        <v>552</v>
      </c>
      <c r="Q397" t="s">
        <v>765</v>
      </c>
      <c r="R397" t="s">
        <v>2428</v>
      </c>
      <c r="AA397" s="8"/>
      <c r="AB397" s="8"/>
      <c r="AC397" s="8"/>
      <c r="AE397" s="8"/>
      <c r="AF397" s="8"/>
    </row>
    <row r="398" spans="1:32" x14ac:dyDescent="0.15">
      <c r="A398" t="s">
        <v>381</v>
      </c>
      <c r="B398" t="s">
        <v>382</v>
      </c>
      <c r="C398" s="8" t="s">
        <v>158</v>
      </c>
      <c r="D398">
        <f>0.42*4.81</f>
        <v>2.0201999999999996</v>
      </c>
      <c r="E398">
        <f>0.42*1.35</f>
        <v>0.56700000000000006</v>
      </c>
      <c r="F398" t="s">
        <v>383</v>
      </c>
      <c r="G398" s="16">
        <v>3</v>
      </c>
      <c r="H398" s="16">
        <v>4</v>
      </c>
      <c r="I398" s="16">
        <v>3</v>
      </c>
      <c r="J398" s="16">
        <v>2</v>
      </c>
      <c r="K398" s="16">
        <v>1</v>
      </c>
      <c r="L398" s="16">
        <v>0</v>
      </c>
      <c r="M398" s="16">
        <v>1</v>
      </c>
      <c r="N398" s="16">
        <v>1</v>
      </c>
      <c r="O398" s="16">
        <v>1</v>
      </c>
      <c r="P398" t="s">
        <v>694</v>
      </c>
      <c r="Q398" t="s">
        <v>799</v>
      </c>
      <c r="AA398" s="8"/>
      <c r="AB398" s="8"/>
      <c r="AC398" s="8"/>
      <c r="AE398" s="8"/>
      <c r="AF398" s="8"/>
    </row>
    <row r="399" spans="1:32" x14ac:dyDescent="0.15">
      <c r="A399" t="s">
        <v>432</v>
      </c>
      <c r="B399" t="s">
        <v>2064</v>
      </c>
      <c r="C399" s="8" t="s">
        <v>158</v>
      </c>
      <c r="D399">
        <v>3.55</v>
      </c>
      <c r="E399">
        <v>0.9</v>
      </c>
      <c r="F399" t="s">
        <v>433</v>
      </c>
      <c r="G399" s="16">
        <v>0</v>
      </c>
      <c r="H399" s="16">
        <v>4</v>
      </c>
      <c r="I399" s="16">
        <v>1</v>
      </c>
      <c r="J399" s="16">
        <v>2</v>
      </c>
      <c r="K399" s="16">
        <v>2</v>
      </c>
      <c r="L399" s="16">
        <v>1</v>
      </c>
      <c r="M399" s="16">
        <v>1</v>
      </c>
      <c r="N399" s="16">
        <v>2</v>
      </c>
      <c r="O399" s="16">
        <v>2</v>
      </c>
      <c r="P399" t="s">
        <v>434</v>
      </c>
      <c r="Q399" t="s">
        <v>660</v>
      </c>
      <c r="AA399" s="8"/>
      <c r="AB399" s="8"/>
      <c r="AC399" s="8"/>
      <c r="AE399" s="8"/>
      <c r="AF399" s="8"/>
    </row>
    <row r="400" spans="1:32" x14ac:dyDescent="0.15">
      <c r="A400" t="s">
        <v>515</v>
      </c>
      <c r="B400" t="s">
        <v>465</v>
      </c>
      <c r="C400" s="8" t="s">
        <v>158</v>
      </c>
      <c r="D400">
        <f>0.42*5.81</f>
        <v>2.4401999999999999</v>
      </c>
      <c r="E400">
        <f>0.42*1.8</f>
        <v>0.75600000000000001</v>
      </c>
      <c r="F400" t="s">
        <v>442</v>
      </c>
      <c r="G400" s="16">
        <v>4</v>
      </c>
      <c r="H400" s="16">
        <v>6</v>
      </c>
      <c r="I400" s="16">
        <v>4</v>
      </c>
      <c r="J400" s="16">
        <v>0</v>
      </c>
      <c r="K400" s="16">
        <v>0</v>
      </c>
      <c r="L400" s="16">
        <v>0</v>
      </c>
      <c r="M400" s="16">
        <v>1</v>
      </c>
      <c r="N400" s="16">
        <v>2</v>
      </c>
      <c r="O400" s="16">
        <v>3</v>
      </c>
      <c r="P400" t="s">
        <v>777</v>
      </c>
      <c r="Q400" t="s">
        <v>799</v>
      </c>
      <c r="AA400" s="8"/>
      <c r="AB400" s="8"/>
      <c r="AC400" s="8"/>
      <c r="AE400" s="8"/>
      <c r="AF400" s="8"/>
    </row>
    <row r="401" spans="1:32" x14ac:dyDescent="0.15">
      <c r="A401" t="s">
        <v>298</v>
      </c>
      <c r="B401" t="s">
        <v>465</v>
      </c>
      <c r="C401" s="8" t="s">
        <v>158</v>
      </c>
      <c r="D401">
        <f>0.42*2.91</f>
        <v>1.2222</v>
      </c>
      <c r="E401">
        <f>0.42*1.69</f>
        <v>0.70979999999999999</v>
      </c>
      <c r="F401" t="s">
        <v>443</v>
      </c>
      <c r="G401" s="16">
        <v>2</v>
      </c>
      <c r="H401" s="16">
        <v>3</v>
      </c>
      <c r="I401" s="16">
        <v>4</v>
      </c>
      <c r="J401" s="16">
        <v>2</v>
      </c>
      <c r="K401" s="16">
        <v>2</v>
      </c>
      <c r="L401" s="16">
        <v>0</v>
      </c>
      <c r="M401" s="16">
        <v>1</v>
      </c>
      <c r="N401" s="16">
        <v>2</v>
      </c>
      <c r="O401" s="16">
        <v>2</v>
      </c>
      <c r="P401" t="s">
        <v>425</v>
      </c>
      <c r="Q401" t="s">
        <v>660</v>
      </c>
      <c r="AA401" s="8"/>
      <c r="AB401" s="8"/>
      <c r="AC401" s="8"/>
      <c r="AE401" s="8"/>
      <c r="AF401" s="8"/>
    </row>
    <row r="402" spans="1:32" x14ac:dyDescent="0.15">
      <c r="A402" t="s">
        <v>892</v>
      </c>
      <c r="B402" t="s">
        <v>2225</v>
      </c>
      <c r="C402" s="8" t="s">
        <v>158</v>
      </c>
      <c r="D402">
        <v>2.94</v>
      </c>
      <c r="E402">
        <v>0.51</v>
      </c>
      <c r="F402" t="s">
        <v>2288</v>
      </c>
      <c r="G402" s="16">
        <v>0</v>
      </c>
      <c r="H402" s="16">
        <v>4</v>
      </c>
      <c r="I402" s="16">
        <v>4</v>
      </c>
      <c r="J402" s="16">
        <v>2</v>
      </c>
      <c r="K402" s="16">
        <v>1</v>
      </c>
      <c r="L402" s="16">
        <v>0</v>
      </c>
      <c r="M402" s="16">
        <v>1</v>
      </c>
      <c r="N402" s="16">
        <v>1</v>
      </c>
      <c r="O402" s="16">
        <v>2</v>
      </c>
      <c r="P402" t="s">
        <v>1134</v>
      </c>
      <c r="Q402" t="s">
        <v>733</v>
      </c>
      <c r="R402" t="s">
        <v>2269</v>
      </c>
      <c r="AA402" s="8"/>
      <c r="AB402" s="8"/>
      <c r="AC402" s="8"/>
      <c r="AE402" s="8"/>
      <c r="AF402" s="8"/>
    </row>
    <row r="403" spans="1:32" x14ac:dyDescent="0.15">
      <c r="A403" t="s">
        <v>842</v>
      </c>
      <c r="B403" t="s">
        <v>770</v>
      </c>
      <c r="C403" s="8" t="s">
        <v>158</v>
      </c>
      <c r="D403">
        <v>2.4</v>
      </c>
      <c r="E403">
        <v>1.01</v>
      </c>
      <c r="F403" t="s">
        <v>768</v>
      </c>
      <c r="G403" s="16">
        <v>3</v>
      </c>
      <c r="H403" s="16">
        <v>4</v>
      </c>
      <c r="I403" s="16">
        <v>1</v>
      </c>
      <c r="J403" s="16">
        <v>2</v>
      </c>
      <c r="K403" s="16">
        <v>1</v>
      </c>
      <c r="L403" s="16">
        <v>1</v>
      </c>
      <c r="M403" s="16">
        <v>1</v>
      </c>
      <c r="N403" s="16">
        <v>2</v>
      </c>
      <c r="O403" s="16">
        <v>2</v>
      </c>
      <c r="P403" t="s">
        <v>885</v>
      </c>
      <c r="Q403" t="s">
        <v>886</v>
      </c>
      <c r="R403" t="s">
        <v>2025</v>
      </c>
      <c r="AA403" s="8"/>
      <c r="AB403" s="8"/>
      <c r="AC403" s="8"/>
      <c r="AE403" s="8"/>
      <c r="AF403" s="8"/>
    </row>
    <row r="404" spans="1:32" x14ac:dyDescent="0.15">
      <c r="A404" t="s">
        <v>1759</v>
      </c>
      <c r="B404" t="s">
        <v>1760</v>
      </c>
      <c r="C404" s="8" t="s">
        <v>158</v>
      </c>
      <c r="D404" s="8">
        <v>2.71</v>
      </c>
      <c r="E404" s="8">
        <v>1.3</v>
      </c>
      <c r="F404" t="s">
        <v>2156</v>
      </c>
      <c r="G404" s="16">
        <v>4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t="s">
        <v>1396</v>
      </c>
      <c r="Q404" t="s">
        <v>1703</v>
      </c>
      <c r="AA404" s="8"/>
      <c r="AB404" s="8"/>
      <c r="AC404" s="8"/>
      <c r="AE404" s="8"/>
      <c r="AF404" s="8"/>
    </row>
    <row r="405" spans="1:32" x14ac:dyDescent="0.15">
      <c r="A405" t="s">
        <v>1407</v>
      </c>
      <c r="B405" t="s">
        <v>1408</v>
      </c>
      <c r="C405" s="8" t="s">
        <v>158</v>
      </c>
      <c r="D405">
        <v>2.65</v>
      </c>
      <c r="E405">
        <v>0.65</v>
      </c>
      <c r="F405" t="s">
        <v>2202</v>
      </c>
      <c r="G405" s="16">
        <v>3</v>
      </c>
      <c r="H405" s="16">
        <v>6</v>
      </c>
      <c r="I405" s="16">
        <v>4</v>
      </c>
      <c r="J405" s="16">
        <v>0</v>
      </c>
      <c r="K405" s="16">
        <v>0</v>
      </c>
      <c r="L405" s="16">
        <v>0</v>
      </c>
      <c r="M405" s="16">
        <v>1</v>
      </c>
      <c r="N405" s="16">
        <v>4</v>
      </c>
      <c r="O405" s="16">
        <v>3</v>
      </c>
      <c r="P405" t="s">
        <v>1409</v>
      </c>
      <c r="Q405" t="s">
        <v>1582</v>
      </c>
      <c r="AA405" s="8"/>
      <c r="AB405" s="8"/>
      <c r="AC405" s="8"/>
      <c r="AE405" s="8"/>
      <c r="AF405" s="8"/>
    </row>
    <row r="406" spans="1:32" x14ac:dyDescent="0.15">
      <c r="A406" t="s">
        <v>1474</v>
      </c>
      <c r="B406" t="s">
        <v>1314</v>
      </c>
      <c r="C406" s="8" t="s">
        <v>155</v>
      </c>
      <c r="D406">
        <v>6.85</v>
      </c>
      <c r="E406">
        <v>3.17</v>
      </c>
      <c r="F406" t="s">
        <v>2128</v>
      </c>
      <c r="G406" s="16">
        <v>0</v>
      </c>
      <c r="H406" s="16">
        <v>6</v>
      </c>
      <c r="I406" s="16">
        <v>2</v>
      </c>
      <c r="J406" s="16">
        <v>0</v>
      </c>
      <c r="K406" s="16">
        <v>0</v>
      </c>
      <c r="L406" s="16">
        <v>0</v>
      </c>
      <c r="M406" s="16">
        <v>1</v>
      </c>
      <c r="N406" s="16">
        <v>1</v>
      </c>
      <c r="O406" s="16">
        <v>2</v>
      </c>
      <c r="P406" t="s">
        <v>978</v>
      </c>
      <c r="Q406" t="s">
        <v>1123</v>
      </c>
      <c r="AA406" s="8"/>
      <c r="AB406" s="8"/>
      <c r="AC406" s="8"/>
      <c r="AE406" s="8"/>
      <c r="AF406" s="8"/>
    </row>
    <row r="407" spans="1:32" x14ac:dyDescent="0.15">
      <c r="A407" t="s">
        <v>902</v>
      </c>
      <c r="B407" t="s">
        <v>911</v>
      </c>
      <c r="C407" s="8" t="s">
        <v>155</v>
      </c>
      <c r="D407">
        <v>6.05</v>
      </c>
      <c r="E407">
        <v>3.1</v>
      </c>
      <c r="F407" t="s">
        <v>906</v>
      </c>
      <c r="G407" s="8">
        <v>0</v>
      </c>
      <c r="H407" s="8">
        <v>1</v>
      </c>
      <c r="I407" s="18">
        <v>4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t="s">
        <v>938</v>
      </c>
      <c r="Q407" t="s">
        <v>1134</v>
      </c>
      <c r="AA407" s="8"/>
      <c r="AB407" s="8"/>
      <c r="AC407" s="8"/>
      <c r="AE407" s="8"/>
      <c r="AF407" s="8"/>
    </row>
    <row r="408" spans="1:32" x14ac:dyDescent="0.15">
      <c r="A408" t="s">
        <v>806</v>
      </c>
      <c r="B408" t="s">
        <v>911</v>
      </c>
      <c r="C408" s="8" t="s">
        <v>155</v>
      </c>
      <c r="D408">
        <v>12.92</v>
      </c>
      <c r="E408">
        <v>2.0099999999999998</v>
      </c>
      <c r="F408" t="s">
        <v>817</v>
      </c>
      <c r="G408" s="8">
        <v>0</v>
      </c>
      <c r="H408" s="8">
        <v>1</v>
      </c>
      <c r="I408" s="18">
        <v>4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t="s">
        <v>1134</v>
      </c>
      <c r="Q408" t="s">
        <v>885</v>
      </c>
      <c r="AA408" s="8"/>
      <c r="AB408" s="8"/>
      <c r="AC408" s="8"/>
      <c r="AE408" s="8"/>
      <c r="AF408" s="8"/>
    </row>
    <row r="409" spans="1:32" x14ac:dyDescent="0.15">
      <c r="A409" t="s">
        <v>1834</v>
      </c>
      <c r="B409" t="s">
        <v>1835</v>
      </c>
      <c r="C409" s="8" t="s">
        <v>155</v>
      </c>
      <c r="D409">
        <v>9.51</v>
      </c>
      <c r="E409">
        <v>2.86</v>
      </c>
      <c r="F409" t="s">
        <v>1909</v>
      </c>
      <c r="G409" s="8">
        <v>0</v>
      </c>
      <c r="H409" s="8">
        <v>1</v>
      </c>
      <c r="I409" s="18">
        <v>4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t="s">
        <v>1402</v>
      </c>
      <c r="Q409" t="s">
        <v>1396</v>
      </c>
      <c r="AA409" s="8"/>
      <c r="AB409" s="8"/>
      <c r="AC409" s="8"/>
      <c r="AE409" s="8"/>
      <c r="AF409" s="8"/>
    </row>
    <row r="410" spans="1:32" x14ac:dyDescent="0.15">
      <c r="A410" t="s">
        <v>1838</v>
      </c>
      <c r="B410" t="s">
        <v>1835</v>
      </c>
      <c r="C410" s="8" t="s">
        <v>155</v>
      </c>
      <c r="D410">
        <v>5.27</v>
      </c>
      <c r="E410">
        <v>1.38</v>
      </c>
      <c r="F410" t="s">
        <v>2067</v>
      </c>
      <c r="G410" s="16">
        <v>0</v>
      </c>
      <c r="H410" s="16">
        <v>1</v>
      </c>
      <c r="I410" s="16">
        <v>4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t="s">
        <v>1396</v>
      </c>
      <c r="Q410" t="s">
        <v>1396</v>
      </c>
      <c r="R410" t="s">
        <v>2286</v>
      </c>
      <c r="AA410" s="8"/>
      <c r="AB410" s="8"/>
      <c r="AC410" s="8"/>
      <c r="AE410" s="8"/>
      <c r="AF410" s="8"/>
    </row>
    <row r="411" spans="1:32" x14ac:dyDescent="0.15">
      <c r="A411" t="s">
        <v>963</v>
      </c>
      <c r="B411" t="s">
        <v>964</v>
      </c>
      <c r="C411" s="8" t="s">
        <v>154</v>
      </c>
      <c r="D411">
        <v>6.48</v>
      </c>
      <c r="E411">
        <v>1.23</v>
      </c>
      <c r="F411" s="8" t="s">
        <v>1817</v>
      </c>
      <c r="G411" s="16">
        <v>2</v>
      </c>
      <c r="H411" s="16">
        <v>6</v>
      </c>
      <c r="I411" s="16">
        <v>2</v>
      </c>
      <c r="J411" s="16">
        <v>2</v>
      </c>
      <c r="K411" s="16">
        <v>1</v>
      </c>
      <c r="L411" s="16">
        <v>1</v>
      </c>
      <c r="M411" s="16">
        <v>2</v>
      </c>
      <c r="N411" s="16">
        <v>2</v>
      </c>
      <c r="O411" s="16">
        <v>2</v>
      </c>
      <c r="P411" t="s">
        <v>802</v>
      </c>
      <c r="Q411" t="s">
        <v>889</v>
      </c>
      <c r="AA411" s="8"/>
      <c r="AB411" s="8"/>
      <c r="AC411" s="8"/>
      <c r="AE411" s="8"/>
      <c r="AF411" s="8"/>
    </row>
    <row r="412" spans="1:32" x14ac:dyDescent="0.15">
      <c r="A412" t="s">
        <v>1536</v>
      </c>
      <c r="B412" t="s">
        <v>2185</v>
      </c>
      <c r="C412" s="8" t="s">
        <v>158</v>
      </c>
      <c r="D412">
        <v>3.43</v>
      </c>
      <c r="E412">
        <v>0.8</v>
      </c>
      <c r="F412" t="s">
        <v>2186</v>
      </c>
      <c r="G412" s="16">
        <v>1</v>
      </c>
      <c r="H412" s="16">
        <v>5</v>
      </c>
      <c r="I412" s="16">
        <v>3</v>
      </c>
      <c r="J412" s="16">
        <v>1</v>
      </c>
      <c r="K412" s="16">
        <v>1</v>
      </c>
      <c r="L412" s="16">
        <v>1</v>
      </c>
      <c r="M412" s="16">
        <v>1</v>
      </c>
      <c r="N412" s="16">
        <v>2</v>
      </c>
      <c r="O412" s="16">
        <v>3</v>
      </c>
      <c r="P412" t="s">
        <v>1537</v>
      </c>
      <c r="Q412" t="s">
        <v>1406</v>
      </c>
      <c r="AA412" s="8"/>
      <c r="AB412" s="8"/>
      <c r="AC412" s="8"/>
      <c r="AE412" s="8"/>
      <c r="AF412" s="8"/>
    </row>
    <row r="413" spans="1:32" x14ac:dyDescent="0.15">
      <c r="A413" t="s">
        <v>841</v>
      </c>
      <c r="B413" t="s">
        <v>769</v>
      </c>
      <c r="C413" s="8" t="s">
        <v>158</v>
      </c>
      <c r="D413">
        <v>1.86</v>
      </c>
      <c r="E413">
        <v>0.63</v>
      </c>
      <c r="F413" t="s">
        <v>768</v>
      </c>
      <c r="G413" s="16">
        <v>3</v>
      </c>
      <c r="H413" s="16">
        <v>0</v>
      </c>
      <c r="I413" s="16">
        <v>0</v>
      </c>
      <c r="J413" s="16">
        <v>2</v>
      </c>
      <c r="K413" s="16">
        <v>1</v>
      </c>
      <c r="L413" s="16">
        <v>1</v>
      </c>
      <c r="M413" s="16">
        <v>1</v>
      </c>
      <c r="N413" s="16">
        <v>2</v>
      </c>
      <c r="O413" s="16">
        <v>1</v>
      </c>
      <c r="P413" t="s">
        <v>888</v>
      </c>
      <c r="Q413" t="s">
        <v>886</v>
      </c>
      <c r="R413" t="s">
        <v>2024</v>
      </c>
      <c r="AA413" s="8"/>
      <c r="AB413" s="8"/>
      <c r="AC413" s="8"/>
      <c r="AE413" s="8"/>
      <c r="AF413" s="8"/>
    </row>
    <row r="414" spans="1:32" x14ac:dyDescent="0.15">
      <c r="A414" t="s">
        <v>843</v>
      </c>
      <c r="B414" t="s">
        <v>769</v>
      </c>
      <c r="C414" s="8" t="s">
        <v>158</v>
      </c>
      <c r="D414">
        <v>1.84</v>
      </c>
      <c r="E414">
        <v>0.57999999999999996</v>
      </c>
      <c r="F414" t="s">
        <v>795</v>
      </c>
      <c r="G414" s="16">
        <v>3</v>
      </c>
      <c r="H414" s="16">
        <v>4</v>
      </c>
      <c r="I414" s="16">
        <v>4</v>
      </c>
      <c r="J414" s="16">
        <v>2</v>
      </c>
      <c r="K414" s="16">
        <v>1</v>
      </c>
      <c r="L414" s="16">
        <v>0</v>
      </c>
      <c r="M414" s="16">
        <v>1</v>
      </c>
      <c r="N414" s="16">
        <v>2</v>
      </c>
      <c r="O414" s="16">
        <v>2</v>
      </c>
      <c r="P414" t="s">
        <v>802</v>
      </c>
      <c r="Q414" t="s">
        <v>889</v>
      </c>
      <c r="R414" t="s">
        <v>2132</v>
      </c>
      <c r="AA414" s="8"/>
      <c r="AB414" s="8"/>
      <c r="AC414" s="8"/>
      <c r="AE414" s="8"/>
      <c r="AF414" s="8"/>
    </row>
    <row r="415" spans="1:32" x14ac:dyDescent="0.15">
      <c r="A415" t="s">
        <v>844</v>
      </c>
      <c r="B415" t="s">
        <v>769</v>
      </c>
      <c r="C415" s="8" t="s">
        <v>158</v>
      </c>
      <c r="D415">
        <v>2.63</v>
      </c>
      <c r="E415">
        <v>0.67</v>
      </c>
      <c r="F415" t="s">
        <v>795</v>
      </c>
      <c r="G415" s="16">
        <v>3</v>
      </c>
      <c r="H415" s="16">
        <v>4</v>
      </c>
      <c r="I415" s="16">
        <v>1</v>
      </c>
      <c r="J415" s="16">
        <v>2</v>
      </c>
      <c r="K415" s="16">
        <v>1</v>
      </c>
      <c r="L415" s="16">
        <v>0</v>
      </c>
      <c r="M415" s="16">
        <v>1</v>
      </c>
      <c r="N415" s="16">
        <v>2</v>
      </c>
      <c r="O415" s="16">
        <v>2</v>
      </c>
      <c r="P415" t="s">
        <v>802</v>
      </c>
      <c r="Q415" t="s">
        <v>889</v>
      </c>
      <c r="R415" t="s">
        <v>2133</v>
      </c>
      <c r="AA415" s="8"/>
      <c r="AB415" s="8"/>
      <c r="AC415" s="8"/>
      <c r="AE415" s="8"/>
      <c r="AF415" s="8"/>
    </row>
    <row r="416" spans="1:32" x14ac:dyDescent="0.15">
      <c r="A416" t="s">
        <v>879</v>
      </c>
      <c r="B416" t="s">
        <v>371</v>
      </c>
      <c r="C416" s="8" t="s">
        <v>158</v>
      </c>
      <c r="D416">
        <v>1.37</v>
      </c>
      <c r="E416">
        <v>0.57999999999999996</v>
      </c>
      <c r="F416" t="s">
        <v>2211</v>
      </c>
      <c r="G416" s="16">
        <v>0</v>
      </c>
      <c r="H416" s="16">
        <v>3</v>
      </c>
      <c r="I416" s="16">
        <v>1</v>
      </c>
      <c r="J416" s="16">
        <v>0</v>
      </c>
      <c r="K416" s="16">
        <v>0</v>
      </c>
      <c r="L416" s="16">
        <v>0</v>
      </c>
      <c r="M416" s="16">
        <v>1</v>
      </c>
      <c r="N416" s="16">
        <v>2</v>
      </c>
      <c r="O416" s="16">
        <v>1</v>
      </c>
      <c r="P416" t="s">
        <v>650</v>
      </c>
      <c r="Q416" t="s">
        <v>730</v>
      </c>
      <c r="AA416" s="8"/>
      <c r="AB416" s="8"/>
      <c r="AC416" s="8"/>
      <c r="AE416" s="8"/>
      <c r="AF416" s="8"/>
    </row>
    <row r="417" spans="1:32" x14ac:dyDescent="0.15">
      <c r="A417" t="s">
        <v>1675</v>
      </c>
      <c r="B417" t="s">
        <v>2185</v>
      </c>
      <c r="C417" s="8" t="s">
        <v>158</v>
      </c>
      <c r="D417">
        <v>3.6</v>
      </c>
      <c r="E417">
        <v>0.72</v>
      </c>
      <c r="F417" t="s">
        <v>2016</v>
      </c>
      <c r="G417" s="16">
        <v>4</v>
      </c>
      <c r="H417" s="16">
        <v>5</v>
      </c>
      <c r="I417" s="16">
        <v>4</v>
      </c>
      <c r="J417" s="16">
        <v>0</v>
      </c>
      <c r="K417" s="16">
        <v>0</v>
      </c>
      <c r="L417" s="16">
        <v>0</v>
      </c>
      <c r="M417" s="16">
        <v>0</v>
      </c>
      <c r="N417" s="16">
        <v>1</v>
      </c>
      <c r="O417" s="16">
        <v>2</v>
      </c>
      <c r="P417" t="s">
        <v>1393</v>
      </c>
      <c r="Q417" t="s">
        <v>1676</v>
      </c>
      <c r="AA417" s="8"/>
      <c r="AB417" s="8"/>
      <c r="AC417" s="8"/>
      <c r="AE417" s="8"/>
      <c r="AF417" s="8"/>
    </row>
    <row r="418" spans="1:32" x14ac:dyDescent="0.15">
      <c r="A418" t="s">
        <v>624</v>
      </c>
      <c r="B418" t="s">
        <v>2318</v>
      </c>
      <c r="C418" s="8" t="s">
        <v>158</v>
      </c>
      <c r="D418">
        <f>0.42*6.17</f>
        <v>2.5913999999999997</v>
      </c>
      <c r="E418">
        <f>0.42*1.94</f>
        <v>0.81479999999999997</v>
      </c>
      <c r="F418" t="s">
        <v>513</v>
      </c>
      <c r="G418" s="16">
        <v>0</v>
      </c>
      <c r="H418" s="16">
        <v>3</v>
      </c>
      <c r="I418" s="16">
        <v>4</v>
      </c>
      <c r="J418" s="16">
        <v>0</v>
      </c>
      <c r="K418" s="16">
        <v>0</v>
      </c>
      <c r="L418" s="16">
        <v>0</v>
      </c>
      <c r="M418" s="16">
        <v>1</v>
      </c>
      <c r="N418" s="16">
        <v>2</v>
      </c>
      <c r="O418" s="16">
        <v>3</v>
      </c>
      <c r="P418" t="s">
        <v>694</v>
      </c>
      <c r="Q418" t="s">
        <v>559</v>
      </c>
      <c r="R418" t="s">
        <v>2306</v>
      </c>
      <c r="AA418" s="8"/>
      <c r="AB418" s="8"/>
      <c r="AC418" s="8"/>
      <c r="AE418" s="8"/>
      <c r="AF418" s="8"/>
    </row>
    <row r="419" spans="1:32" x14ac:dyDescent="0.15">
      <c r="A419" t="s">
        <v>1112</v>
      </c>
      <c r="B419" t="s">
        <v>2195</v>
      </c>
      <c r="C419" s="8" t="s">
        <v>158</v>
      </c>
      <c r="D419">
        <v>2</v>
      </c>
      <c r="E419">
        <v>0.56000000000000005</v>
      </c>
      <c r="F419" t="s">
        <v>2193</v>
      </c>
      <c r="G419" s="16">
        <v>3</v>
      </c>
      <c r="H419" s="16">
        <v>2</v>
      </c>
      <c r="I419" s="16">
        <v>1</v>
      </c>
      <c r="J419" s="16">
        <v>0</v>
      </c>
      <c r="K419" s="16">
        <v>0</v>
      </c>
      <c r="L419" s="16">
        <v>0</v>
      </c>
      <c r="M419" s="16">
        <v>1</v>
      </c>
      <c r="N419" s="16">
        <v>1</v>
      </c>
      <c r="O419" s="16">
        <v>1</v>
      </c>
      <c r="P419" t="s">
        <v>1113</v>
      </c>
      <c r="Q419" t="s">
        <v>1115</v>
      </c>
      <c r="AA419" s="8"/>
      <c r="AB419" s="8"/>
      <c r="AC419" s="8"/>
      <c r="AE419" s="8"/>
      <c r="AF419" s="8"/>
    </row>
    <row r="420" spans="1:32" x14ac:dyDescent="0.15">
      <c r="A420" t="s">
        <v>1495</v>
      </c>
      <c r="B420" t="s">
        <v>1496</v>
      </c>
      <c r="C420" s="8" t="s">
        <v>154</v>
      </c>
      <c r="D420">
        <v>5.77</v>
      </c>
      <c r="E420">
        <v>3.02</v>
      </c>
      <c r="F420" t="s">
        <v>1820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1</v>
      </c>
      <c r="M420" s="16">
        <v>1</v>
      </c>
      <c r="N420" s="16">
        <v>2</v>
      </c>
      <c r="O420" s="16">
        <v>1</v>
      </c>
      <c r="P420" t="s">
        <v>1393</v>
      </c>
      <c r="Q420" t="s">
        <v>1313</v>
      </c>
      <c r="AA420" s="8"/>
      <c r="AB420" s="8"/>
      <c r="AC420" s="8"/>
      <c r="AE420" s="8"/>
      <c r="AF420" s="8"/>
    </row>
    <row r="421" spans="1:32" x14ac:dyDescent="0.15">
      <c r="A421" t="s">
        <v>1010</v>
      </c>
      <c r="B421" t="s">
        <v>1011</v>
      </c>
      <c r="C421" s="8" t="s">
        <v>156</v>
      </c>
      <c r="D421">
        <v>3.81</v>
      </c>
      <c r="E421">
        <v>1.05</v>
      </c>
      <c r="F421" t="s">
        <v>1951</v>
      </c>
      <c r="G421" s="16">
        <v>0</v>
      </c>
      <c r="H421" s="16">
        <v>2</v>
      </c>
      <c r="I421" s="16">
        <v>2</v>
      </c>
      <c r="J421" s="16">
        <v>0</v>
      </c>
      <c r="K421" s="16">
        <v>0</v>
      </c>
      <c r="L421" s="16">
        <v>0</v>
      </c>
      <c r="M421" s="16">
        <v>1</v>
      </c>
      <c r="N421" s="16">
        <v>2</v>
      </c>
      <c r="O421" s="16">
        <v>2</v>
      </c>
      <c r="P421" t="s">
        <v>1088</v>
      </c>
      <c r="Q421" t="s">
        <v>1089</v>
      </c>
      <c r="AA421" s="8"/>
      <c r="AB421" s="8"/>
      <c r="AC421" s="8"/>
      <c r="AE421" s="8"/>
      <c r="AF421" s="8"/>
    </row>
    <row r="422" spans="1:32" x14ac:dyDescent="0.15">
      <c r="A422" t="s">
        <v>1050</v>
      </c>
      <c r="B422" t="s">
        <v>1011</v>
      </c>
      <c r="C422" s="8" t="s">
        <v>156</v>
      </c>
      <c r="D422">
        <v>2.1</v>
      </c>
      <c r="E422">
        <v>0.5</v>
      </c>
      <c r="F422" t="s">
        <v>1872</v>
      </c>
      <c r="G422" s="16">
        <v>0</v>
      </c>
      <c r="H422" s="16">
        <v>2</v>
      </c>
      <c r="I422" s="16">
        <v>1</v>
      </c>
      <c r="J422" s="16">
        <v>0</v>
      </c>
      <c r="K422" s="16">
        <v>0</v>
      </c>
      <c r="L422" s="16">
        <v>0</v>
      </c>
      <c r="M422" s="16">
        <v>1</v>
      </c>
      <c r="N422" s="16">
        <v>2</v>
      </c>
      <c r="O422" s="16">
        <v>2</v>
      </c>
      <c r="P422" t="s">
        <v>1088</v>
      </c>
      <c r="Q422" t="s">
        <v>1089</v>
      </c>
      <c r="AA422" s="8"/>
      <c r="AB422" s="8"/>
      <c r="AC422" s="8"/>
      <c r="AE422" s="8"/>
      <c r="AF422" s="8"/>
    </row>
    <row r="423" spans="1:32" x14ac:dyDescent="0.15">
      <c r="A423" t="s">
        <v>890</v>
      </c>
      <c r="B423" t="s">
        <v>1065</v>
      </c>
      <c r="C423" s="8" t="s">
        <v>156</v>
      </c>
      <c r="D423">
        <v>4.93</v>
      </c>
      <c r="E423">
        <v>1.28</v>
      </c>
      <c r="F423" t="s">
        <v>1663</v>
      </c>
      <c r="G423" s="16">
        <v>3</v>
      </c>
      <c r="H423" s="16">
        <v>0</v>
      </c>
      <c r="I423" s="16">
        <v>0</v>
      </c>
      <c r="J423" s="16">
        <v>2</v>
      </c>
      <c r="K423" s="16">
        <v>2</v>
      </c>
      <c r="L423" s="16">
        <v>1</v>
      </c>
      <c r="M423" s="16">
        <v>1</v>
      </c>
      <c r="N423" s="16">
        <v>4</v>
      </c>
      <c r="O423" s="16">
        <v>3</v>
      </c>
      <c r="P423" t="s">
        <v>891</v>
      </c>
      <c r="Q423" t="s">
        <v>812</v>
      </c>
      <c r="AA423" s="8"/>
      <c r="AB423" s="8"/>
      <c r="AC423" s="8"/>
      <c r="AE423" s="8"/>
      <c r="AF423" s="8"/>
    </row>
    <row r="424" spans="1:32" x14ac:dyDescent="0.15">
      <c r="A424" t="s">
        <v>731</v>
      </c>
      <c r="B424" t="s">
        <v>1916</v>
      </c>
      <c r="C424" s="8" t="s">
        <v>156</v>
      </c>
      <c r="D424">
        <v>4.6100000000000003</v>
      </c>
      <c r="E424">
        <v>1.81</v>
      </c>
      <c r="F424" t="s">
        <v>1915</v>
      </c>
      <c r="G424" s="16">
        <v>0</v>
      </c>
      <c r="H424" s="16">
        <v>3</v>
      </c>
      <c r="I424" s="16">
        <v>1</v>
      </c>
      <c r="J424" s="16">
        <v>0</v>
      </c>
      <c r="K424" s="16">
        <v>0</v>
      </c>
      <c r="L424" s="16">
        <v>0</v>
      </c>
      <c r="M424" s="16">
        <v>0</v>
      </c>
      <c r="N424" s="16">
        <v>4</v>
      </c>
      <c r="O424" s="16">
        <v>3</v>
      </c>
      <c r="P424" t="s">
        <v>732</v>
      </c>
      <c r="Q424" t="s">
        <v>733</v>
      </c>
      <c r="R424" t="s">
        <v>2243</v>
      </c>
      <c r="AA424" s="8"/>
      <c r="AB424" s="8"/>
      <c r="AC424" s="8"/>
      <c r="AE424" s="8"/>
      <c r="AF424" s="8"/>
    </row>
    <row r="425" spans="1:32" x14ac:dyDescent="0.15">
      <c r="A425" t="s">
        <v>1056</v>
      </c>
      <c r="B425" t="s">
        <v>1135</v>
      </c>
      <c r="C425" s="8" t="s">
        <v>156</v>
      </c>
      <c r="D425">
        <v>1.56</v>
      </c>
      <c r="E425">
        <v>0.41</v>
      </c>
      <c r="F425" t="s">
        <v>1840</v>
      </c>
      <c r="G425" s="16">
        <v>0</v>
      </c>
      <c r="H425" s="16">
        <v>0</v>
      </c>
      <c r="I425" s="16">
        <v>0</v>
      </c>
      <c r="J425" s="16">
        <v>1</v>
      </c>
      <c r="K425" s="16">
        <v>2</v>
      </c>
      <c r="L425" s="16">
        <v>0</v>
      </c>
      <c r="M425" s="16">
        <v>2</v>
      </c>
      <c r="N425" s="16">
        <v>2</v>
      </c>
      <c r="O425" s="16">
        <v>2</v>
      </c>
      <c r="P425" t="s">
        <v>1134</v>
      </c>
      <c r="Q425" t="s">
        <v>733</v>
      </c>
      <c r="AA425" s="8"/>
      <c r="AB425" s="8"/>
      <c r="AC425" s="8"/>
      <c r="AE425" s="8"/>
      <c r="AF425" s="8"/>
    </row>
    <row r="426" spans="1:32" x14ac:dyDescent="0.15">
      <c r="A426" t="s">
        <v>649</v>
      </c>
      <c r="B426" t="s">
        <v>1135</v>
      </c>
      <c r="C426" s="8" t="s">
        <v>156</v>
      </c>
      <c r="D426">
        <v>2.19</v>
      </c>
      <c r="E426">
        <v>0.57999999999999996</v>
      </c>
      <c r="F426" t="s">
        <v>1667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1</v>
      </c>
      <c r="N426" s="16">
        <v>2</v>
      </c>
      <c r="O426" s="16">
        <v>3</v>
      </c>
      <c r="P426" t="s">
        <v>1134</v>
      </c>
      <c r="Q426" t="s">
        <v>733</v>
      </c>
      <c r="AA426" s="8"/>
      <c r="AB426" s="8"/>
      <c r="AC426" s="8"/>
      <c r="AE426" s="8"/>
      <c r="AF426" s="8"/>
    </row>
    <row r="427" spans="1:32" x14ac:dyDescent="0.15">
      <c r="A427" t="s">
        <v>956</v>
      </c>
      <c r="B427" t="s">
        <v>2230</v>
      </c>
      <c r="C427" s="8" t="s">
        <v>156</v>
      </c>
      <c r="D427">
        <v>1.25</v>
      </c>
      <c r="E427">
        <v>0.28999999999999998</v>
      </c>
      <c r="F427" t="s">
        <v>2302</v>
      </c>
      <c r="G427" s="16">
        <v>0</v>
      </c>
      <c r="H427" s="16">
        <v>2</v>
      </c>
      <c r="I427" s="16">
        <v>1</v>
      </c>
      <c r="J427" s="16">
        <v>0</v>
      </c>
      <c r="K427" s="16">
        <v>0</v>
      </c>
      <c r="L427" s="16">
        <v>0</v>
      </c>
      <c r="M427" s="16">
        <v>1</v>
      </c>
      <c r="N427" s="16">
        <v>1</v>
      </c>
      <c r="O427" s="16">
        <v>2</v>
      </c>
      <c r="P427" t="s">
        <v>732</v>
      </c>
      <c r="Q427" t="s">
        <v>730</v>
      </c>
      <c r="AA427" s="8"/>
      <c r="AB427" s="8"/>
      <c r="AC427" s="8"/>
      <c r="AE427" s="8"/>
      <c r="AF427" s="8"/>
    </row>
    <row r="428" spans="1:32" x14ac:dyDescent="0.15">
      <c r="A428" t="s">
        <v>1311</v>
      </c>
      <c r="B428" t="s">
        <v>1312</v>
      </c>
      <c r="C428" s="8" t="s">
        <v>156</v>
      </c>
      <c r="D428">
        <v>2.2200000000000002</v>
      </c>
      <c r="E428">
        <v>0.57999999999999996</v>
      </c>
      <c r="F428" t="s">
        <v>1962</v>
      </c>
      <c r="G428" s="16">
        <v>0</v>
      </c>
      <c r="H428" s="16">
        <v>3</v>
      </c>
      <c r="I428" s="16">
        <v>4</v>
      </c>
      <c r="J428" s="16">
        <v>1</v>
      </c>
      <c r="K428" s="16">
        <v>2</v>
      </c>
      <c r="L428" s="16">
        <v>1</v>
      </c>
      <c r="M428" s="16">
        <v>2</v>
      </c>
      <c r="N428" s="16">
        <v>4</v>
      </c>
      <c r="O428" s="16">
        <v>3</v>
      </c>
      <c r="P428" t="s">
        <v>1393</v>
      </c>
      <c r="Q428" t="s">
        <v>1313</v>
      </c>
      <c r="AA428" s="8"/>
      <c r="AB428" s="8"/>
      <c r="AC428" s="8"/>
      <c r="AE428" s="8"/>
      <c r="AF428" s="8"/>
    </row>
    <row r="429" spans="1:32" x14ac:dyDescent="0.15">
      <c r="A429" t="s">
        <v>1769</v>
      </c>
      <c r="B429" t="s">
        <v>1579</v>
      </c>
      <c r="C429" s="8" t="s">
        <v>156</v>
      </c>
      <c r="D429">
        <v>4.4000000000000004</v>
      </c>
      <c r="E429">
        <v>1.72</v>
      </c>
      <c r="F429" t="s">
        <v>1963</v>
      </c>
      <c r="G429" s="16">
        <v>0</v>
      </c>
      <c r="H429" s="16">
        <v>3</v>
      </c>
      <c r="I429" s="16">
        <v>2</v>
      </c>
      <c r="J429" s="16">
        <v>2</v>
      </c>
      <c r="K429" s="16">
        <v>2</v>
      </c>
      <c r="L429" s="16">
        <v>0</v>
      </c>
      <c r="M429" s="16">
        <v>1</v>
      </c>
      <c r="N429" s="16">
        <v>2</v>
      </c>
      <c r="O429" s="16">
        <v>3</v>
      </c>
      <c r="P429" t="s">
        <v>1580</v>
      </c>
      <c r="Q429" t="s">
        <v>1313</v>
      </c>
      <c r="R429" t="s">
        <v>900</v>
      </c>
      <c r="AA429" s="8"/>
      <c r="AB429" s="8"/>
      <c r="AC429" s="8"/>
      <c r="AE429" s="8"/>
      <c r="AF429" s="8"/>
    </row>
    <row r="430" spans="1:32" x14ac:dyDescent="0.15">
      <c r="A430" t="s">
        <v>1770</v>
      </c>
      <c r="B430" t="s">
        <v>1579</v>
      </c>
      <c r="C430" s="8" t="s">
        <v>156</v>
      </c>
      <c r="D430">
        <v>3.03</v>
      </c>
      <c r="E430">
        <v>0.71</v>
      </c>
      <c r="F430" t="s">
        <v>1964</v>
      </c>
      <c r="G430" s="16">
        <v>0</v>
      </c>
      <c r="H430" s="16">
        <v>1</v>
      </c>
      <c r="I430" s="16">
        <v>1</v>
      </c>
      <c r="J430" s="16">
        <v>2</v>
      </c>
      <c r="K430" s="16">
        <v>2</v>
      </c>
      <c r="L430" s="16">
        <v>0</v>
      </c>
      <c r="M430" s="16">
        <v>1</v>
      </c>
      <c r="N430" s="16">
        <v>2</v>
      </c>
      <c r="O430" s="16">
        <v>2</v>
      </c>
      <c r="P430" t="s">
        <v>1393</v>
      </c>
      <c r="Q430" t="s">
        <v>1313</v>
      </c>
      <c r="R430" t="s">
        <v>2007</v>
      </c>
      <c r="AA430" s="8"/>
      <c r="AB430" s="8"/>
      <c r="AC430" s="8"/>
      <c r="AE430" s="8"/>
      <c r="AF430" s="8"/>
    </row>
    <row r="431" spans="1:32" x14ac:dyDescent="0.15">
      <c r="A431" t="s">
        <v>1782</v>
      </c>
      <c r="B431" t="s">
        <v>1723</v>
      </c>
      <c r="C431" s="8" t="s">
        <v>156</v>
      </c>
      <c r="D431">
        <v>2.15</v>
      </c>
      <c r="E431">
        <v>0.59</v>
      </c>
      <c r="F431" t="s">
        <v>2203</v>
      </c>
      <c r="G431" s="16">
        <v>0</v>
      </c>
      <c r="H431" s="16">
        <v>2</v>
      </c>
      <c r="I431" s="16">
        <v>1</v>
      </c>
      <c r="J431" s="16">
        <v>0</v>
      </c>
      <c r="K431" s="16">
        <v>0</v>
      </c>
      <c r="L431" s="16">
        <v>1</v>
      </c>
      <c r="M431" s="16">
        <v>1</v>
      </c>
      <c r="N431" s="16">
        <v>2</v>
      </c>
      <c r="O431" s="16">
        <v>3</v>
      </c>
      <c r="P431" t="s">
        <v>1393</v>
      </c>
      <c r="Q431" t="s">
        <v>1313</v>
      </c>
      <c r="AA431" s="8"/>
      <c r="AB431" s="8"/>
      <c r="AC431" s="8"/>
      <c r="AE431" s="8"/>
      <c r="AF431" s="8"/>
    </row>
    <row r="432" spans="1:32" x14ac:dyDescent="0.15">
      <c r="A432" t="s">
        <v>1921</v>
      </c>
      <c r="B432" t="s">
        <v>1723</v>
      </c>
      <c r="C432" s="8" t="s">
        <v>156</v>
      </c>
      <c r="D432">
        <v>7.2</v>
      </c>
      <c r="E432">
        <v>1.68</v>
      </c>
      <c r="F432" t="s">
        <v>1922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1</v>
      </c>
      <c r="M432" s="16">
        <v>1</v>
      </c>
      <c r="N432" s="16">
        <v>3</v>
      </c>
      <c r="O432" s="16">
        <v>2</v>
      </c>
      <c r="P432" t="s">
        <v>1393</v>
      </c>
      <c r="Q432" t="s">
        <v>1313</v>
      </c>
      <c r="AA432" s="8"/>
      <c r="AB432" s="8"/>
      <c r="AC432" s="8"/>
      <c r="AE432" s="8"/>
      <c r="AF432" s="8"/>
    </row>
    <row r="433" spans="1:32" x14ac:dyDescent="0.15">
      <c r="A433" t="s">
        <v>1958</v>
      </c>
      <c r="B433" t="s">
        <v>1829</v>
      </c>
      <c r="C433" s="8" t="s">
        <v>156</v>
      </c>
      <c r="D433">
        <v>1.4</v>
      </c>
      <c r="E433">
        <v>0.6</v>
      </c>
      <c r="F433" t="s">
        <v>1830</v>
      </c>
      <c r="G433" s="16">
        <v>0</v>
      </c>
      <c r="H433" s="16">
        <v>0</v>
      </c>
      <c r="I433" s="16">
        <v>0</v>
      </c>
      <c r="J433" s="16">
        <v>2</v>
      </c>
      <c r="K433" s="16">
        <v>2</v>
      </c>
      <c r="L433" s="16">
        <v>1</v>
      </c>
      <c r="M433" s="16">
        <v>1</v>
      </c>
      <c r="N433" s="16">
        <v>3</v>
      </c>
      <c r="O433" s="16">
        <v>2</v>
      </c>
      <c r="P433" t="s">
        <v>1393</v>
      </c>
      <c r="Q433" t="s">
        <v>1313</v>
      </c>
      <c r="R433" t="s">
        <v>2004</v>
      </c>
      <c r="AA433" s="8"/>
      <c r="AB433" s="8"/>
      <c r="AC433" s="8"/>
      <c r="AE433" s="8"/>
      <c r="AF433" s="8"/>
    </row>
    <row r="434" spans="1:32" x14ac:dyDescent="0.15">
      <c r="A434" t="s">
        <v>613</v>
      </c>
      <c r="B434" t="s">
        <v>614</v>
      </c>
      <c r="C434" s="8" t="s">
        <v>156</v>
      </c>
      <c r="D434">
        <f>0.42*11.9</f>
        <v>4.9980000000000002</v>
      </c>
      <c r="E434">
        <f>0.42*2.36</f>
        <v>0.99119999999999986</v>
      </c>
      <c r="F434" t="s">
        <v>615</v>
      </c>
      <c r="G434" s="16">
        <v>0</v>
      </c>
      <c r="H434" s="16">
        <v>4</v>
      </c>
      <c r="I434" s="16">
        <v>4</v>
      </c>
      <c r="J434" s="16">
        <v>0</v>
      </c>
      <c r="K434" s="16">
        <v>0</v>
      </c>
      <c r="L434" s="16">
        <v>1</v>
      </c>
      <c r="M434" s="16">
        <v>2</v>
      </c>
      <c r="N434" s="16">
        <v>2</v>
      </c>
      <c r="O434" s="16">
        <v>3</v>
      </c>
      <c r="P434" t="s">
        <v>798</v>
      </c>
      <c r="Q434" t="s">
        <v>637</v>
      </c>
      <c r="AA434" s="8"/>
      <c r="AB434" s="8"/>
      <c r="AC434" s="8"/>
      <c r="AE434" s="8"/>
      <c r="AF434" s="8"/>
    </row>
    <row r="435" spans="1:32" x14ac:dyDescent="0.15">
      <c r="A435" t="s">
        <v>661</v>
      </c>
      <c r="B435" t="s">
        <v>614</v>
      </c>
      <c r="C435" s="8" t="s">
        <v>156</v>
      </c>
      <c r="D435">
        <f>0.42*2.22</f>
        <v>0.93240000000000001</v>
      </c>
      <c r="E435">
        <f>0.42*0.96</f>
        <v>0.40319999999999995</v>
      </c>
      <c r="F435" t="s">
        <v>662</v>
      </c>
      <c r="G435" s="16">
        <v>0</v>
      </c>
      <c r="H435" s="16">
        <v>0</v>
      </c>
      <c r="I435" s="16">
        <v>0</v>
      </c>
      <c r="J435" s="16">
        <v>1</v>
      </c>
      <c r="K435" s="16">
        <v>2</v>
      </c>
      <c r="L435" s="16">
        <v>1</v>
      </c>
      <c r="M435" s="16">
        <v>2</v>
      </c>
      <c r="N435" s="16">
        <v>1</v>
      </c>
      <c r="O435" s="16">
        <v>3</v>
      </c>
      <c r="P435" t="s">
        <v>798</v>
      </c>
      <c r="Q435" t="s">
        <v>663</v>
      </c>
      <c r="R435" t="s">
        <v>2311</v>
      </c>
      <c r="AA435" s="8"/>
      <c r="AB435" s="8"/>
      <c r="AC435" s="8"/>
      <c r="AE435" s="8"/>
      <c r="AF435" s="8"/>
    </row>
    <row r="436" spans="1:32" x14ac:dyDescent="0.15">
      <c r="A436" t="s">
        <v>480</v>
      </c>
      <c r="B436" t="s">
        <v>614</v>
      </c>
      <c r="C436" s="8" t="s">
        <v>156</v>
      </c>
      <c r="D436">
        <v>2.37</v>
      </c>
      <c r="E436">
        <v>0.62</v>
      </c>
      <c r="F436" t="s">
        <v>481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1</v>
      </c>
      <c r="M436" s="16">
        <v>1</v>
      </c>
      <c r="N436" s="16">
        <v>2</v>
      </c>
      <c r="O436" s="16">
        <v>2</v>
      </c>
      <c r="P436" t="s">
        <v>798</v>
      </c>
      <c r="Q436" t="s">
        <v>637</v>
      </c>
      <c r="AA436" s="8"/>
      <c r="AB436" s="8"/>
      <c r="AC436" s="8"/>
      <c r="AE436" s="8"/>
      <c r="AF436" s="8"/>
    </row>
    <row r="437" spans="1:32" x14ac:dyDescent="0.15">
      <c r="A437" t="s">
        <v>726</v>
      </c>
      <c r="B437" t="s">
        <v>727</v>
      </c>
      <c r="C437" s="8" t="s">
        <v>156</v>
      </c>
      <c r="D437">
        <v>2.92</v>
      </c>
      <c r="E437">
        <v>0.72</v>
      </c>
      <c r="F437" t="s">
        <v>767</v>
      </c>
      <c r="G437" s="16">
        <v>1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2</v>
      </c>
      <c r="O437" s="16">
        <v>2</v>
      </c>
      <c r="P437" t="s">
        <v>802</v>
      </c>
      <c r="Q437" t="s">
        <v>1055</v>
      </c>
      <c r="R437" t="s">
        <v>2036</v>
      </c>
      <c r="AA437" s="8"/>
      <c r="AB437" s="8"/>
      <c r="AC437" s="8"/>
      <c r="AE437" s="8"/>
      <c r="AF437" s="8"/>
    </row>
    <row r="438" spans="1:32" x14ac:dyDescent="0.15">
      <c r="A438" t="s">
        <v>1180</v>
      </c>
      <c r="B438" t="s">
        <v>1094</v>
      </c>
      <c r="C438" s="8" t="s">
        <v>154</v>
      </c>
      <c r="D438">
        <v>1.28</v>
      </c>
      <c r="E438">
        <v>0.75</v>
      </c>
      <c r="F438" t="s">
        <v>2221</v>
      </c>
      <c r="G438" s="16">
        <v>2</v>
      </c>
      <c r="H438" s="16">
        <v>6</v>
      </c>
      <c r="I438" s="16">
        <v>1</v>
      </c>
      <c r="J438" s="16">
        <v>2</v>
      </c>
      <c r="K438" s="16">
        <v>1</v>
      </c>
      <c r="L438" s="16">
        <v>1</v>
      </c>
      <c r="M438" s="16">
        <v>1</v>
      </c>
      <c r="N438" s="16">
        <v>1</v>
      </c>
      <c r="O438" s="16">
        <v>0</v>
      </c>
      <c r="P438" t="s">
        <v>802</v>
      </c>
      <c r="Q438" t="s">
        <v>1095</v>
      </c>
      <c r="AA438" s="8"/>
      <c r="AB438" s="8"/>
      <c r="AC438" s="8"/>
      <c r="AE438" s="8"/>
      <c r="AF438" s="8"/>
    </row>
    <row r="439" spans="1:32" x14ac:dyDescent="0.15">
      <c r="A439" t="s">
        <v>1018</v>
      </c>
      <c r="B439" t="s">
        <v>1094</v>
      </c>
      <c r="C439" s="8" t="s">
        <v>154</v>
      </c>
      <c r="D439">
        <v>1.18</v>
      </c>
      <c r="E439">
        <v>0.62</v>
      </c>
      <c r="F439" t="s">
        <v>2222</v>
      </c>
      <c r="G439" s="16">
        <v>0</v>
      </c>
      <c r="H439" s="16">
        <v>0</v>
      </c>
      <c r="I439" s="16">
        <v>0</v>
      </c>
      <c r="J439" s="16">
        <v>2</v>
      </c>
      <c r="K439" s="16">
        <v>2</v>
      </c>
      <c r="L439" s="16">
        <v>1</v>
      </c>
      <c r="M439" s="16">
        <v>1</v>
      </c>
      <c r="N439" s="16">
        <v>1</v>
      </c>
      <c r="O439" s="16">
        <v>1</v>
      </c>
      <c r="P439" t="s">
        <v>802</v>
      </c>
      <c r="Q439" t="s">
        <v>730</v>
      </c>
      <c r="AA439" s="8"/>
      <c r="AB439" s="8"/>
      <c r="AC439" s="8"/>
      <c r="AE439" s="8"/>
      <c r="AF439" s="8"/>
    </row>
    <row r="440" spans="1:32" x14ac:dyDescent="0.15">
      <c r="A440" t="s">
        <v>1096</v>
      </c>
      <c r="B440" t="s">
        <v>1094</v>
      </c>
      <c r="C440" s="8" t="s">
        <v>154</v>
      </c>
      <c r="D440">
        <v>1.21</v>
      </c>
      <c r="E440">
        <v>0.67</v>
      </c>
      <c r="F440" t="s">
        <v>903</v>
      </c>
      <c r="G440" s="16">
        <v>2</v>
      </c>
      <c r="H440" s="16">
        <v>6</v>
      </c>
      <c r="I440" s="16">
        <v>2</v>
      </c>
      <c r="J440" s="16">
        <v>0</v>
      </c>
      <c r="K440" s="16">
        <v>0</v>
      </c>
      <c r="L440" s="16">
        <v>0</v>
      </c>
      <c r="M440" s="16">
        <v>0</v>
      </c>
      <c r="N440" s="16">
        <v>1</v>
      </c>
      <c r="O440" s="16">
        <v>2</v>
      </c>
      <c r="P440" t="s">
        <v>802</v>
      </c>
      <c r="Q440" t="s">
        <v>1055</v>
      </c>
      <c r="AA440" s="8"/>
      <c r="AB440" s="8"/>
      <c r="AC440" s="8"/>
      <c r="AE440" s="8"/>
      <c r="AF440" s="8"/>
    </row>
    <row r="441" spans="1:32" x14ac:dyDescent="0.15">
      <c r="A441" t="s">
        <v>1780</v>
      </c>
      <c r="B441" t="s">
        <v>1781</v>
      </c>
      <c r="C441" s="8" t="s">
        <v>154</v>
      </c>
      <c r="D441">
        <v>1.38</v>
      </c>
      <c r="E441">
        <v>0.42</v>
      </c>
      <c r="F441" t="s">
        <v>2091</v>
      </c>
      <c r="G441" s="16">
        <v>2</v>
      </c>
      <c r="H441" s="16">
        <v>5</v>
      </c>
      <c r="I441" s="16">
        <v>1</v>
      </c>
      <c r="J441" s="16">
        <v>0</v>
      </c>
      <c r="K441" s="16">
        <v>0</v>
      </c>
      <c r="L441" s="16">
        <v>0</v>
      </c>
      <c r="M441" s="16">
        <v>1</v>
      </c>
      <c r="N441" s="16">
        <v>1</v>
      </c>
      <c r="O441" s="16">
        <v>1</v>
      </c>
      <c r="P441" t="s">
        <v>1393</v>
      </c>
      <c r="Q441" t="s">
        <v>1613</v>
      </c>
      <c r="AA441" s="8"/>
      <c r="AB441" s="8"/>
      <c r="AC441" s="8"/>
      <c r="AE441" s="8"/>
      <c r="AF441" s="8"/>
    </row>
    <row r="442" spans="1:32" x14ac:dyDescent="0.15">
      <c r="A442" t="s">
        <v>313</v>
      </c>
      <c r="B442" t="s">
        <v>314</v>
      </c>
      <c r="C442" s="8" t="s">
        <v>154</v>
      </c>
      <c r="D442">
        <v>1.02</v>
      </c>
      <c r="E442">
        <v>0.73</v>
      </c>
      <c r="F442" t="s">
        <v>315</v>
      </c>
      <c r="G442" s="16">
        <v>2</v>
      </c>
      <c r="H442" s="16">
        <v>3</v>
      </c>
      <c r="I442" s="16">
        <v>1</v>
      </c>
      <c r="J442" s="16">
        <v>0</v>
      </c>
      <c r="K442" s="16">
        <v>0</v>
      </c>
      <c r="L442" s="16">
        <v>0</v>
      </c>
      <c r="M442" s="16">
        <v>1</v>
      </c>
      <c r="N442" s="16">
        <v>1</v>
      </c>
      <c r="O442" s="16">
        <v>2</v>
      </c>
      <c r="P442" t="s">
        <v>798</v>
      </c>
      <c r="Q442" t="s">
        <v>799</v>
      </c>
      <c r="AA442" s="8"/>
      <c r="AB442" s="8"/>
      <c r="AC442" s="8"/>
      <c r="AE442" s="8"/>
      <c r="AF442" s="8"/>
    </row>
    <row r="443" spans="1:32" x14ac:dyDescent="0.15">
      <c r="A443" t="s">
        <v>1375</v>
      </c>
      <c r="B443" t="s">
        <v>1376</v>
      </c>
      <c r="C443" s="8" t="s">
        <v>165</v>
      </c>
      <c r="D443">
        <v>1.7</v>
      </c>
      <c r="E443">
        <v>0.47</v>
      </c>
      <c r="F443" t="s">
        <v>2256</v>
      </c>
      <c r="G443" s="16">
        <v>1</v>
      </c>
      <c r="H443" s="16">
        <v>0</v>
      </c>
      <c r="I443" s="16">
        <v>0</v>
      </c>
      <c r="J443" s="16">
        <v>1</v>
      </c>
      <c r="K443" s="16">
        <v>1</v>
      </c>
      <c r="L443" s="16">
        <v>0</v>
      </c>
      <c r="M443" s="16">
        <v>1</v>
      </c>
      <c r="N443" s="16">
        <v>1</v>
      </c>
      <c r="O443" s="16">
        <v>2</v>
      </c>
      <c r="P443" t="s">
        <v>978</v>
      </c>
      <c r="Q443" t="s">
        <v>1047</v>
      </c>
      <c r="AA443" s="8"/>
      <c r="AB443" s="8"/>
      <c r="AC443" s="8"/>
      <c r="AE443" s="8"/>
      <c r="AF443" s="8"/>
    </row>
    <row r="444" spans="1:32" x14ac:dyDescent="0.15">
      <c r="A444" t="s">
        <v>643</v>
      </c>
      <c r="B444" t="s">
        <v>644</v>
      </c>
      <c r="C444" s="8" t="s">
        <v>165</v>
      </c>
      <c r="D444">
        <v>1.37</v>
      </c>
      <c r="E444">
        <v>0.45</v>
      </c>
      <c r="F444" t="s">
        <v>2213</v>
      </c>
      <c r="G444" s="16">
        <v>4</v>
      </c>
      <c r="H444" s="16">
        <v>5</v>
      </c>
      <c r="I444" s="16">
        <v>2</v>
      </c>
      <c r="J444" s="16">
        <v>0</v>
      </c>
      <c r="K444" s="16">
        <v>0</v>
      </c>
      <c r="L444" s="16">
        <v>0</v>
      </c>
      <c r="M444" s="16">
        <v>1</v>
      </c>
      <c r="N444" s="16">
        <v>2</v>
      </c>
      <c r="O444" s="16">
        <v>2</v>
      </c>
      <c r="P444" t="s">
        <v>802</v>
      </c>
      <c r="Q444" t="s">
        <v>889</v>
      </c>
      <c r="R444" t="s">
        <v>2303</v>
      </c>
      <c r="AA444" s="8"/>
      <c r="AB444" s="8"/>
      <c r="AC444" s="8"/>
      <c r="AE444" s="8"/>
      <c r="AF444" s="8"/>
    </row>
    <row r="445" spans="1:32" x14ac:dyDescent="0.15">
      <c r="A445" t="s">
        <v>1724</v>
      </c>
      <c r="B445" t="s">
        <v>1725</v>
      </c>
      <c r="C445" s="8" t="s">
        <v>165</v>
      </c>
      <c r="D445">
        <v>1.61</v>
      </c>
      <c r="E445">
        <v>0.56999999999999995</v>
      </c>
      <c r="F445" t="s">
        <v>2204</v>
      </c>
      <c r="G445" s="16">
        <v>1</v>
      </c>
      <c r="H445" s="16">
        <v>4</v>
      </c>
      <c r="I445" s="16">
        <v>1</v>
      </c>
      <c r="J445" s="16">
        <v>2</v>
      </c>
      <c r="K445" s="16">
        <v>1</v>
      </c>
      <c r="L445" s="16">
        <v>0</v>
      </c>
      <c r="M445" s="16">
        <v>1</v>
      </c>
      <c r="N445" s="16">
        <v>1</v>
      </c>
      <c r="O445" s="16">
        <v>2</v>
      </c>
      <c r="P445" t="s">
        <v>1393</v>
      </c>
      <c r="Q445" t="s">
        <v>1613</v>
      </c>
      <c r="AA445" s="8"/>
      <c r="AB445" s="8"/>
      <c r="AC445" s="8"/>
      <c r="AE445" s="8"/>
      <c r="AF445" s="8"/>
    </row>
    <row r="446" spans="1:32" x14ac:dyDescent="0.15">
      <c r="A446" t="s">
        <v>404</v>
      </c>
      <c r="B446" t="s">
        <v>378</v>
      </c>
      <c r="C446" s="8" t="s">
        <v>165</v>
      </c>
      <c r="D446">
        <v>1.57</v>
      </c>
      <c r="E446">
        <v>0.43</v>
      </c>
      <c r="F446" t="s">
        <v>302</v>
      </c>
      <c r="G446" s="16">
        <v>2</v>
      </c>
      <c r="H446" s="16">
        <v>6</v>
      </c>
      <c r="I446" s="16">
        <v>1</v>
      </c>
      <c r="J446" s="16">
        <v>2</v>
      </c>
      <c r="K446" s="16">
        <v>1</v>
      </c>
      <c r="L446" s="16">
        <v>0</v>
      </c>
      <c r="M446" s="16">
        <v>1</v>
      </c>
      <c r="N446" s="16">
        <v>1</v>
      </c>
      <c r="O446" s="16">
        <v>2</v>
      </c>
      <c r="P446" t="s">
        <v>379</v>
      </c>
      <c r="Q446" t="s">
        <v>660</v>
      </c>
      <c r="AA446" s="8"/>
      <c r="AB446" s="8"/>
      <c r="AC446" s="8"/>
      <c r="AE446" s="8"/>
      <c r="AF446" s="8"/>
    </row>
    <row r="447" spans="1:32" x14ac:dyDescent="0.15">
      <c r="A447" t="s">
        <v>397</v>
      </c>
      <c r="B447" t="s">
        <v>378</v>
      </c>
      <c r="C447" s="8" t="s">
        <v>165</v>
      </c>
      <c r="D447">
        <v>1.25</v>
      </c>
      <c r="E447">
        <v>0.31</v>
      </c>
      <c r="F447" t="s">
        <v>523</v>
      </c>
      <c r="G447" s="16">
        <v>1</v>
      </c>
      <c r="H447" s="16">
        <v>6</v>
      </c>
      <c r="I447" s="16">
        <v>1</v>
      </c>
      <c r="J447" s="16">
        <v>0</v>
      </c>
      <c r="K447" s="16">
        <v>0</v>
      </c>
      <c r="L447" s="16">
        <v>0</v>
      </c>
      <c r="M447" s="16">
        <v>1</v>
      </c>
      <c r="N447" s="16">
        <v>2</v>
      </c>
      <c r="O447" s="16">
        <v>2</v>
      </c>
      <c r="P447" t="s">
        <v>798</v>
      </c>
      <c r="Q447" t="s">
        <v>799</v>
      </c>
      <c r="AA447" s="8"/>
      <c r="AB447" s="8"/>
      <c r="AC447" s="8"/>
      <c r="AE447" s="8"/>
      <c r="AF447" s="8"/>
    </row>
    <row r="448" spans="1:32" x14ac:dyDescent="0.15">
      <c r="A448" t="s">
        <v>720</v>
      </c>
      <c r="B448" t="s">
        <v>721</v>
      </c>
      <c r="C448" s="8" t="s">
        <v>165</v>
      </c>
      <c r="D448">
        <v>1</v>
      </c>
      <c r="E448">
        <v>0.27</v>
      </c>
      <c r="F448" t="s">
        <v>780</v>
      </c>
      <c r="G448" s="16">
        <v>1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1</v>
      </c>
      <c r="N448" s="16">
        <v>2</v>
      </c>
      <c r="O448" s="16">
        <v>2</v>
      </c>
      <c r="P448" t="s">
        <v>802</v>
      </c>
      <c r="Q448" t="s">
        <v>730</v>
      </c>
      <c r="AA448" s="8"/>
      <c r="AB448" s="8"/>
      <c r="AC448" s="8"/>
      <c r="AE448" s="8"/>
      <c r="AF448" s="8"/>
    </row>
    <row r="449" spans="1:32" x14ac:dyDescent="0.15">
      <c r="A449" t="s">
        <v>500</v>
      </c>
      <c r="B449" t="s">
        <v>501</v>
      </c>
      <c r="C449" s="8" t="s">
        <v>165</v>
      </c>
      <c r="D449">
        <v>1.79</v>
      </c>
      <c r="E449">
        <v>0.48</v>
      </c>
      <c r="F449" t="s">
        <v>502</v>
      </c>
      <c r="G449" s="16">
        <v>0</v>
      </c>
      <c r="H449" s="16">
        <v>1</v>
      </c>
      <c r="I449" s="16">
        <v>1</v>
      </c>
      <c r="J449" s="16">
        <v>0</v>
      </c>
      <c r="K449" s="16">
        <v>0</v>
      </c>
      <c r="L449" s="16">
        <v>0</v>
      </c>
      <c r="M449" s="16">
        <v>1</v>
      </c>
      <c r="N449" s="16">
        <v>1</v>
      </c>
      <c r="O449" s="16">
        <v>2</v>
      </c>
      <c r="P449" t="s">
        <v>503</v>
      </c>
      <c r="Q449" t="s">
        <v>559</v>
      </c>
      <c r="AA449" s="8"/>
      <c r="AB449" s="8"/>
      <c r="AC449" s="8"/>
      <c r="AE449" s="8"/>
      <c r="AF449" s="8"/>
    </row>
    <row r="450" spans="1:32" x14ac:dyDescent="0.15">
      <c r="A450" t="s">
        <v>1700</v>
      </c>
      <c r="B450" t="s">
        <v>1701</v>
      </c>
      <c r="C450" s="8" t="s">
        <v>165</v>
      </c>
      <c r="D450">
        <v>1.6</v>
      </c>
      <c r="E450">
        <v>0.45</v>
      </c>
      <c r="F450" t="s">
        <v>2257</v>
      </c>
      <c r="G450" s="16">
        <v>2</v>
      </c>
      <c r="H450" s="16">
        <v>4</v>
      </c>
      <c r="I450" s="16">
        <v>2</v>
      </c>
      <c r="J450" s="16">
        <v>1</v>
      </c>
      <c r="K450" s="16">
        <v>1</v>
      </c>
      <c r="L450" s="16">
        <v>0</v>
      </c>
      <c r="M450" s="16">
        <v>1</v>
      </c>
      <c r="N450" s="16">
        <v>2</v>
      </c>
      <c r="O450" s="16">
        <v>2</v>
      </c>
      <c r="P450" t="s">
        <v>1393</v>
      </c>
      <c r="Q450" t="s">
        <v>1613</v>
      </c>
      <c r="AA450" s="8"/>
      <c r="AB450" s="8"/>
      <c r="AC450" s="8"/>
      <c r="AE450" s="8"/>
      <c r="AF450" s="8"/>
    </row>
    <row r="451" spans="1:32" x14ac:dyDescent="0.15">
      <c r="A451" t="s">
        <v>1318</v>
      </c>
      <c r="B451" t="s">
        <v>2187</v>
      </c>
      <c r="C451" s="8" t="s">
        <v>158</v>
      </c>
      <c r="D451">
        <v>6.37</v>
      </c>
      <c r="E451">
        <v>1.1100000000000001</v>
      </c>
      <c r="F451" t="s">
        <v>2188</v>
      </c>
      <c r="G451" s="16">
        <v>3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2</v>
      </c>
      <c r="O451" s="16">
        <v>2</v>
      </c>
      <c r="P451" t="s">
        <v>1514</v>
      </c>
      <c r="Q451" t="s">
        <v>1473</v>
      </c>
      <c r="AA451" s="8"/>
      <c r="AB451" s="8"/>
      <c r="AC451" s="8"/>
      <c r="AE451" s="8"/>
      <c r="AF451" s="8"/>
    </row>
    <row r="452" spans="1:32" x14ac:dyDescent="0.15">
      <c r="A452" t="s">
        <v>1756</v>
      </c>
      <c r="B452" t="s">
        <v>1758</v>
      </c>
      <c r="C452" s="8" t="s">
        <v>158</v>
      </c>
      <c r="D452">
        <v>2.52</v>
      </c>
      <c r="E452">
        <v>0.55000000000000004</v>
      </c>
      <c r="F452" t="s">
        <v>1996</v>
      </c>
      <c r="G452" s="16">
        <v>3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2</v>
      </c>
      <c r="P452" t="s">
        <v>1757</v>
      </c>
      <c r="Q452" t="s">
        <v>1596</v>
      </c>
      <c r="R452" t="s">
        <v>2006</v>
      </c>
      <c r="AA452" s="8"/>
      <c r="AB452" s="8"/>
      <c r="AC452" s="8"/>
      <c r="AE452" s="8"/>
      <c r="AF452" s="8"/>
    </row>
    <row r="453" spans="1:32" x14ac:dyDescent="0.15">
      <c r="A453" t="s">
        <v>924</v>
      </c>
      <c r="B453" t="s">
        <v>2217</v>
      </c>
      <c r="C453" s="8" t="s">
        <v>158</v>
      </c>
      <c r="D453">
        <v>6.09</v>
      </c>
      <c r="E453">
        <v>1.17</v>
      </c>
      <c r="F453" t="s">
        <v>2216</v>
      </c>
      <c r="G453" s="16">
        <v>4</v>
      </c>
      <c r="H453" s="16">
        <v>0</v>
      </c>
      <c r="I453" s="16">
        <v>0</v>
      </c>
      <c r="J453" s="16">
        <v>1</v>
      </c>
      <c r="K453" s="16">
        <v>2</v>
      </c>
      <c r="L453" s="16">
        <v>2</v>
      </c>
      <c r="M453" s="16">
        <v>1</v>
      </c>
      <c r="N453" s="16">
        <v>1</v>
      </c>
      <c r="O453" s="16">
        <v>2</v>
      </c>
      <c r="P453" t="s">
        <v>802</v>
      </c>
      <c r="Q453" t="s">
        <v>889</v>
      </c>
      <c r="R453" t="s">
        <v>2153</v>
      </c>
      <c r="AA453" s="8"/>
      <c r="AB453" s="8"/>
      <c r="AC453" s="8"/>
      <c r="AE453" s="8"/>
      <c r="AF453" s="8"/>
    </row>
    <row r="454" spans="1:32" x14ac:dyDescent="0.15">
      <c r="A454" t="s">
        <v>394</v>
      </c>
      <c r="B454" t="s">
        <v>395</v>
      </c>
      <c r="C454" s="8" t="s">
        <v>158</v>
      </c>
      <c r="D454">
        <f>0.43*10.44</f>
        <v>4.4891999999999994</v>
      </c>
      <c r="E454">
        <f>0.43*2.43</f>
        <v>1.0449000000000002</v>
      </c>
      <c r="F454" t="s">
        <v>522</v>
      </c>
      <c r="G454" s="16">
        <v>3</v>
      </c>
      <c r="H454" s="16">
        <v>1</v>
      </c>
      <c r="I454" s="16">
        <v>1</v>
      </c>
      <c r="J454" s="16">
        <v>0</v>
      </c>
      <c r="K454" s="16">
        <v>0</v>
      </c>
      <c r="L454" s="16">
        <v>2</v>
      </c>
      <c r="M454" s="16">
        <v>1</v>
      </c>
      <c r="N454" s="16">
        <v>2</v>
      </c>
      <c r="O454" s="16">
        <v>2</v>
      </c>
      <c r="P454" t="s">
        <v>396</v>
      </c>
      <c r="Q454" t="s">
        <v>660</v>
      </c>
      <c r="AA454" s="8"/>
      <c r="AB454" s="8"/>
      <c r="AC454" s="8"/>
      <c r="AE454" s="8"/>
      <c r="AF454" s="8"/>
    </row>
    <row r="455" spans="1:32" x14ac:dyDescent="0.15">
      <c r="A455" t="s">
        <v>1177</v>
      </c>
      <c r="B455" t="s">
        <v>2164</v>
      </c>
      <c r="C455" s="8" t="s">
        <v>158</v>
      </c>
      <c r="D455">
        <v>4.2699999999999996</v>
      </c>
      <c r="E455">
        <v>1.37</v>
      </c>
      <c r="F455" t="s">
        <v>2284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1</v>
      </c>
      <c r="M455" s="16">
        <v>2</v>
      </c>
      <c r="N455" s="16">
        <v>2</v>
      </c>
      <c r="O455" s="16">
        <v>1</v>
      </c>
      <c r="P455" t="s">
        <v>815</v>
      </c>
      <c r="Q455" t="s">
        <v>985</v>
      </c>
      <c r="AA455" s="8"/>
      <c r="AB455" s="8"/>
      <c r="AC455" s="8"/>
      <c r="AE455" s="8"/>
      <c r="AF455" s="8"/>
    </row>
    <row r="456" spans="1:32" x14ac:dyDescent="0.15">
      <c r="A456" t="s">
        <v>1066</v>
      </c>
      <c r="B456" t="s">
        <v>2164</v>
      </c>
      <c r="C456" s="8" t="s">
        <v>158</v>
      </c>
      <c r="D456">
        <v>6.43</v>
      </c>
      <c r="E456">
        <v>0.99</v>
      </c>
      <c r="F456" t="s">
        <v>2172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2</v>
      </c>
      <c r="M456" s="16">
        <v>1</v>
      </c>
      <c r="N456" s="16">
        <v>1</v>
      </c>
      <c r="O456" s="16">
        <v>2</v>
      </c>
      <c r="P456" t="s">
        <v>1069</v>
      </c>
      <c r="Q456" t="s">
        <v>1089</v>
      </c>
      <c r="AA456" s="8"/>
      <c r="AB456" s="8"/>
      <c r="AC456" s="8"/>
      <c r="AE456" s="8"/>
      <c r="AF456" s="8"/>
    </row>
    <row r="457" spans="1:32" x14ac:dyDescent="0.15">
      <c r="A457" t="s">
        <v>1738</v>
      </c>
      <c r="B457" t="s">
        <v>2164</v>
      </c>
      <c r="C457" s="8" t="s">
        <v>158</v>
      </c>
      <c r="D457">
        <v>6.43</v>
      </c>
      <c r="E457">
        <v>1.1399999999999999</v>
      </c>
      <c r="F457" t="s">
        <v>2295</v>
      </c>
      <c r="G457" s="16">
        <v>3</v>
      </c>
      <c r="H457" s="16">
        <v>0</v>
      </c>
      <c r="I457" s="16">
        <v>0</v>
      </c>
      <c r="J457" s="16">
        <v>2</v>
      </c>
      <c r="K457" s="16">
        <v>2</v>
      </c>
      <c r="L457" s="16">
        <v>2</v>
      </c>
      <c r="M457" s="16">
        <v>1</v>
      </c>
      <c r="N457" s="16">
        <v>2</v>
      </c>
      <c r="O457" s="16">
        <v>2</v>
      </c>
      <c r="P457" t="s">
        <v>1088</v>
      </c>
      <c r="Q457" t="s">
        <v>1284</v>
      </c>
      <c r="R457" t="s">
        <v>2101</v>
      </c>
      <c r="AA457" s="8"/>
      <c r="AB457" s="8"/>
      <c r="AC457" s="8"/>
      <c r="AE457" s="8"/>
      <c r="AF457" s="8"/>
    </row>
    <row r="458" spans="1:32" x14ac:dyDescent="0.15">
      <c r="A458" t="s">
        <v>1658</v>
      </c>
      <c r="B458" t="s">
        <v>2164</v>
      </c>
      <c r="C458" s="8" t="s">
        <v>158</v>
      </c>
      <c r="D458">
        <v>6.28</v>
      </c>
      <c r="E458">
        <v>1.18</v>
      </c>
      <c r="F458" t="s">
        <v>2018</v>
      </c>
      <c r="G458" s="16">
        <v>3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2</v>
      </c>
      <c r="O458" s="16">
        <v>2</v>
      </c>
      <c r="P458" t="s">
        <v>1514</v>
      </c>
      <c r="Q458" t="s">
        <v>1473</v>
      </c>
      <c r="AA458" s="8"/>
      <c r="AB458" s="8"/>
      <c r="AC458" s="8"/>
      <c r="AE458" s="8"/>
      <c r="AF458" s="8"/>
    </row>
    <row r="459" spans="1:32" x14ac:dyDescent="0.15">
      <c r="A459" t="s">
        <v>1659</v>
      </c>
      <c r="B459" t="s">
        <v>2164</v>
      </c>
      <c r="C459" s="8" t="s">
        <v>158</v>
      </c>
      <c r="D459">
        <v>5.62</v>
      </c>
      <c r="E459">
        <v>1.4</v>
      </c>
      <c r="F459" t="s">
        <v>2018</v>
      </c>
      <c r="G459" s="16">
        <v>3</v>
      </c>
      <c r="H459" s="16">
        <v>0</v>
      </c>
      <c r="I459" s="16">
        <v>0</v>
      </c>
      <c r="J459" s="16">
        <v>2</v>
      </c>
      <c r="K459" s="16">
        <v>2</v>
      </c>
      <c r="L459" s="16">
        <v>2</v>
      </c>
      <c r="M459" s="16">
        <v>1</v>
      </c>
      <c r="N459" s="16">
        <v>2</v>
      </c>
      <c r="O459" s="16">
        <v>1</v>
      </c>
      <c r="P459" t="s">
        <v>1405</v>
      </c>
      <c r="Q459" t="s">
        <v>1406</v>
      </c>
      <c r="R459" t="s">
        <v>2287</v>
      </c>
      <c r="AA459" s="8"/>
      <c r="AB459" s="8"/>
      <c r="AC459" s="8"/>
      <c r="AE459" s="8"/>
      <c r="AF459" s="8"/>
    </row>
    <row r="460" spans="1:32" x14ac:dyDescent="0.15">
      <c r="A460" t="s">
        <v>1622</v>
      </c>
      <c r="B460" t="s">
        <v>2164</v>
      </c>
      <c r="C460" s="8" t="s">
        <v>158</v>
      </c>
      <c r="D460">
        <v>5.9</v>
      </c>
      <c r="E460">
        <v>0.72</v>
      </c>
      <c r="F460" t="s">
        <v>2152</v>
      </c>
      <c r="G460" s="16">
        <v>0</v>
      </c>
      <c r="H460" s="16">
        <v>0</v>
      </c>
      <c r="I460" s="16">
        <v>0</v>
      </c>
      <c r="J460" s="16">
        <v>2</v>
      </c>
      <c r="K460" s="16">
        <v>2</v>
      </c>
      <c r="L460" s="16">
        <v>2</v>
      </c>
      <c r="M460" s="16">
        <v>2</v>
      </c>
      <c r="N460" s="16">
        <v>1</v>
      </c>
      <c r="O460" s="16">
        <v>2</v>
      </c>
      <c r="P460" t="s">
        <v>1405</v>
      </c>
      <c r="Q460" t="s">
        <v>1553</v>
      </c>
      <c r="R460" t="s">
        <v>2115</v>
      </c>
      <c r="AA460" s="8"/>
      <c r="AB460" s="8"/>
      <c r="AC460" s="8"/>
      <c r="AE460" s="8"/>
      <c r="AF460" s="8"/>
    </row>
    <row r="461" spans="1:32" x14ac:dyDescent="0.15">
      <c r="A461" t="s">
        <v>1558</v>
      </c>
      <c r="B461" t="s">
        <v>2164</v>
      </c>
      <c r="C461" s="8" t="s">
        <v>158</v>
      </c>
      <c r="D461">
        <v>6.22</v>
      </c>
      <c r="E461">
        <v>0.96</v>
      </c>
      <c r="F461" t="s">
        <v>2028</v>
      </c>
      <c r="G461" s="16">
        <v>0</v>
      </c>
      <c r="H461" s="16">
        <v>0</v>
      </c>
      <c r="I461" s="16">
        <v>0</v>
      </c>
      <c r="J461" s="16">
        <v>2</v>
      </c>
      <c r="K461" s="16">
        <v>2</v>
      </c>
      <c r="L461" s="16">
        <v>2</v>
      </c>
      <c r="M461" s="16">
        <v>1</v>
      </c>
      <c r="N461" s="16">
        <v>2</v>
      </c>
      <c r="O461" s="16">
        <v>2</v>
      </c>
      <c r="P461" t="s">
        <v>1514</v>
      </c>
      <c r="Q461" t="s">
        <v>1559</v>
      </c>
      <c r="AA461" s="8"/>
      <c r="AB461" s="8"/>
      <c r="AC461" s="8"/>
      <c r="AE461" s="8"/>
      <c r="AF461" s="8"/>
    </row>
    <row r="462" spans="1:32" x14ac:dyDescent="0.15">
      <c r="A462" t="s">
        <v>1110</v>
      </c>
      <c r="B462" t="s">
        <v>2164</v>
      </c>
      <c r="C462" s="8" t="s">
        <v>158</v>
      </c>
      <c r="D462">
        <v>2.09</v>
      </c>
      <c r="E462">
        <v>1.28</v>
      </c>
      <c r="F462" t="s">
        <v>2193</v>
      </c>
      <c r="G462" s="16">
        <v>3</v>
      </c>
      <c r="H462" s="16">
        <v>0</v>
      </c>
      <c r="I462" s="16">
        <v>0</v>
      </c>
      <c r="J462" s="16">
        <v>0</v>
      </c>
      <c r="K462" s="16">
        <v>0</v>
      </c>
      <c r="L462" s="16">
        <v>1</v>
      </c>
      <c r="M462" s="16">
        <v>1</v>
      </c>
      <c r="N462" s="16">
        <v>2</v>
      </c>
      <c r="O462" s="16">
        <v>1</v>
      </c>
      <c r="P462" t="s">
        <v>1111</v>
      </c>
      <c r="Q462" t="s">
        <v>1115</v>
      </c>
      <c r="AA462" s="8"/>
      <c r="AB462" s="8"/>
      <c r="AC462" s="8"/>
      <c r="AE462" s="8"/>
      <c r="AF462" s="8"/>
    </row>
    <row r="463" spans="1:32" x14ac:dyDescent="0.15">
      <c r="A463" t="s">
        <v>1114</v>
      </c>
      <c r="B463" t="s">
        <v>2164</v>
      </c>
      <c r="C463" s="8" t="s">
        <v>158</v>
      </c>
      <c r="D463">
        <v>5.22</v>
      </c>
      <c r="E463">
        <v>1.0900000000000001</v>
      </c>
      <c r="F463" t="s">
        <v>2194</v>
      </c>
      <c r="G463" s="16">
        <v>0</v>
      </c>
      <c r="H463" s="16">
        <v>0</v>
      </c>
      <c r="I463" s="16">
        <v>0</v>
      </c>
      <c r="J463" s="16">
        <v>2</v>
      </c>
      <c r="K463" s="16">
        <v>2</v>
      </c>
      <c r="L463" s="16">
        <v>2</v>
      </c>
      <c r="M463" s="16">
        <v>1</v>
      </c>
      <c r="N463" s="16">
        <v>3</v>
      </c>
      <c r="O463" s="16">
        <v>2</v>
      </c>
      <c r="P463" t="s">
        <v>1081</v>
      </c>
      <c r="Q463" t="s">
        <v>1082</v>
      </c>
      <c r="AA463" s="8"/>
      <c r="AB463" s="8"/>
      <c r="AC463" s="8"/>
      <c r="AE463" s="8"/>
      <c r="AF463" s="8"/>
    </row>
    <row r="464" spans="1:32" x14ac:dyDescent="0.15">
      <c r="A464" t="s">
        <v>954</v>
      </c>
      <c r="B464" t="s">
        <v>874</v>
      </c>
      <c r="C464" s="8" t="s">
        <v>158</v>
      </c>
      <c r="D464">
        <v>5.21</v>
      </c>
      <c r="E464">
        <v>1.3</v>
      </c>
      <c r="F464" t="s">
        <v>875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2</v>
      </c>
      <c r="O464" s="16">
        <v>2</v>
      </c>
      <c r="P464" t="s">
        <v>885</v>
      </c>
      <c r="Q464" t="s">
        <v>955</v>
      </c>
      <c r="AA464" s="8"/>
      <c r="AB464" s="8"/>
      <c r="AC464" s="8"/>
      <c r="AE464" s="8"/>
      <c r="AF464" s="8"/>
    </row>
    <row r="465" spans="1:32" x14ac:dyDescent="0.15">
      <c r="A465" t="s">
        <v>1016</v>
      </c>
      <c r="B465" t="s">
        <v>1017</v>
      </c>
      <c r="C465" s="8" t="s">
        <v>158</v>
      </c>
      <c r="D465">
        <v>11.01</v>
      </c>
      <c r="E465">
        <v>1.3</v>
      </c>
      <c r="F465" t="s">
        <v>851</v>
      </c>
      <c r="G465" s="16">
        <v>4</v>
      </c>
      <c r="H465" s="16">
        <v>0</v>
      </c>
      <c r="I465" s="16">
        <v>0</v>
      </c>
      <c r="J465" s="16">
        <v>2</v>
      </c>
      <c r="K465" s="16">
        <v>1</v>
      </c>
      <c r="L465" s="16">
        <v>2</v>
      </c>
      <c r="M465" s="16">
        <v>2</v>
      </c>
      <c r="N465" s="16">
        <v>2</v>
      </c>
      <c r="O465" s="16">
        <v>2</v>
      </c>
      <c r="P465" t="s">
        <v>802</v>
      </c>
      <c r="Q465" t="s">
        <v>889</v>
      </c>
      <c r="R465" t="s">
        <v>2293</v>
      </c>
      <c r="AA465" s="8"/>
      <c r="AB465" s="8"/>
      <c r="AC465" s="8"/>
      <c r="AE465" s="8"/>
      <c r="AF465" s="8"/>
    </row>
    <row r="466" spans="1:32" x14ac:dyDescent="0.15">
      <c r="A466" t="s">
        <v>722</v>
      </c>
      <c r="B466" t="s">
        <v>723</v>
      </c>
      <c r="C466" s="8" t="s">
        <v>158</v>
      </c>
      <c r="D466">
        <v>1.79</v>
      </c>
      <c r="E466">
        <v>1.35</v>
      </c>
      <c r="F466" t="s">
        <v>781</v>
      </c>
      <c r="G466" s="16">
        <v>0</v>
      </c>
      <c r="H466" s="16">
        <v>3</v>
      </c>
      <c r="I466" s="16">
        <v>2</v>
      </c>
      <c r="J466" s="16">
        <v>0</v>
      </c>
      <c r="K466" s="16">
        <v>0</v>
      </c>
      <c r="L466" s="16">
        <v>2</v>
      </c>
      <c r="M466" s="16">
        <v>2</v>
      </c>
      <c r="N466" s="16">
        <v>3</v>
      </c>
      <c r="O466" s="16">
        <v>0</v>
      </c>
      <c r="P466" t="s">
        <v>888</v>
      </c>
      <c r="Q466" t="s">
        <v>724</v>
      </c>
      <c r="AA466" s="8"/>
      <c r="AB466" s="8"/>
      <c r="AC466" s="8"/>
      <c r="AE466" s="8"/>
      <c r="AF466" s="8"/>
    </row>
    <row r="467" spans="1:32" x14ac:dyDescent="0.15">
      <c r="A467" t="s">
        <v>1028</v>
      </c>
      <c r="B467" t="s">
        <v>2164</v>
      </c>
      <c r="C467" s="8" t="s">
        <v>158</v>
      </c>
      <c r="D467">
        <v>6.39</v>
      </c>
      <c r="E467">
        <v>1.01</v>
      </c>
      <c r="F467" t="s">
        <v>2258</v>
      </c>
      <c r="G467" s="16">
        <v>2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1</v>
      </c>
      <c r="N467" s="16">
        <v>2</v>
      </c>
      <c r="O467" s="16">
        <v>2</v>
      </c>
      <c r="P467" t="s">
        <v>802</v>
      </c>
      <c r="Q467" t="s">
        <v>889</v>
      </c>
      <c r="R467" t="s">
        <v>2235</v>
      </c>
      <c r="AA467" s="8"/>
      <c r="AB467" s="8"/>
      <c r="AC467" s="8"/>
      <c r="AE467" s="8"/>
      <c r="AF467" s="8"/>
    </row>
    <row r="468" spans="1:32" x14ac:dyDescent="0.15">
      <c r="A468" t="s">
        <v>872</v>
      </c>
      <c r="B468" t="s">
        <v>2164</v>
      </c>
      <c r="C468" s="8" t="s">
        <v>158</v>
      </c>
      <c r="D468">
        <v>2.16</v>
      </c>
      <c r="E468">
        <v>1.6</v>
      </c>
      <c r="F468" t="s">
        <v>2081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2</v>
      </c>
      <c r="M468" s="16">
        <v>1</v>
      </c>
      <c r="N468" s="16">
        <v>2</v>
      </c>
      <c r="O468" s="16">
        <v>0</v>
      </c>
      <c r="P468" t="s">
        <v>802</v>
      </c>
      <c r="Q468" t="s">
        <v>873</v>
      </c>
      <c r="AA468" s="8"/>
      <c r="AB468" s="8"/>
      <c r="AC468" s="8"/>
      <c r="AE468" s="8"/>
      <c r="AF468" s="8"/>
    </row>
    <row r="469" spans="1:32" x14ac:dyDescent="0.15">
      <c r="A469" t="s">
        <v>1763</v>
      </c>
      <c r="B469" t="s">
        <v>1726</v>
      </c>
      <c r="C469" s="8" t="s">
        <v>158</v>
      </c>
      <c r="D469">
        <v>5.6</v>
      </c>
      <c r="E469">
        <v>1.53</v>
      </c>
      <c r="F469" t="s">
        <v>2155</v>
      </c>
      <c r="G469" s="16">
        <v>0</v>
      </c>
      <c r="H469" s="16">
        <v>2</v>
      </c>
      <c r="I469" s="16">
        <v>2</v>
      </c>
      <c r="J469" s="16">
        <v>0</v>
      </c>
      <c r="K469" s="16">
        <v>0</v>
      </c>
      <c r="L469" s="16">
        <v>2</v>
      </c>
      <c r="M469" s="16">
        <v>2</v>
      </c>
      <c r="N469" s="16">
        <v>2</v>
      </c>
      <c r="O469" s="16">
        <v>2</v>
      </c>
      <c r="P469" t="s">
        <v>1610</v>
      </c>
      <c r="Q469" t="s">
        <v>1602</v>
      </c>
      <c r="R469" t="s">
        <v>2249</v>
      </c>
      <c r="AA469" s="8"/>
      <c r="AB469" s="8"/>
      <c r="AC469" s="8"/>
      <c r="AE469" s="8"/>
      <c r="AF469" s="8"/>
    </row>
    <row r="470" spans="1:32" x14ac:dyDescent="0.15">
      <c r="A470" t="s">
        <v>1762</v>
      </c>
      <c r="B470" t="s">
        <v>1726</v>
      </c>
      <c r="C470" s="8" t="s">
        <v>158</v>
      </c>
      <c r="D470" s="8">
        <v>6.86</v>
      </c>
      <c r="E470" s="8">
        <v>1.42</v>
      </c>
      <c r="F470" t="s">
        <v>2155</v>
      </c>
      <c r="G470" s="16">
        <v>0</v>
      </c>
      <c r="H470" s="16">
        <v>2</v>
      </c>
      <c r="I470" s="16">
        <v>2</v>
      </c>
      <c r="J470" s="16">
        <v>2</v>
      </c>
      <c r="K470" s="16">
        <v>2</v>
      </c>
      <c r="L470" s="16">
        <v>1</v>
      </c>
      <c r="M470" s="16">
        <v>2</v>
      </c>
      <c r="N470" s="16">
        <v>2</v>
      </c>
      <c r="O470" s="16">
        <v>2</v>
      </c>
      <c r="P470" t="s">
        <v>1393</v>
      </c>
      <c r="Q470" t="s">
        <v>1313</v>
      </c>
      <c r="AA470" s="8"/>
      <c r="AB470" s="8"/>
      <c r="AC470" s="8"/>
      <c r="AE470" s="8"/>
      <c r="AF470" s="8"/>
    </row>
    <row r="471" spans="1:32" x14ac:dyDescent="0.15">
      <c r="A471" t="s">
        <v>1761</v>
      </c>
      <c r="B471" t="s">
        <v>1764</v>
      </c>
      <c r="C471" s="8" t="s">
        <v>158</v>
      </c>
      <c r="D471">
        <v>6.41</v>
      </c>
      <c r="E471">
        <v>1.28</v>
      </c>
      <c r="F471" t="s">
        <v>2157</v>
      </c>
      <c r="G471" s="16">
        <v>0</v>
      </c>
      <c r="H471" s="16">
        <v>3</v>
      </c>
      <c r="I471" s="16">
        <v>2</v>
      </c>
      <c r="J471" s="16">
        <v>0</v>
      </c>
      <c r="K471" s="16">
        <v>0</v>
      </c>
      <c r="L471" s="16">
        <v>2</v>
      </c>
      <c r="M471" s="16">
        <v>2</v>
      </c>
      <c r="N471" s="16">
        <v>1</v>
      </c>
      <c r="O471" s="16">
        <v>2</v>
      </c>
      <c r="P471" t="s">
        <v>1616</v>
      </c>
      <c r="Q471" t="s">
        <v>1313</v>
      </c>
      <c r="R471" t="s">
        <v>2383</v>
      </c>
      <c r="AA471" s="8"/>
      <c r="AB471" s="8"/>
      <c r="AC471" s="8"/>
      <c r="AE471" s="8"/>
      <c r="AF471" s="8"/>
    </row>
    <row r="472" spans="1:32" x14ac:dyDescent="0.15">
      <c r="A472" t="s">
        <v>1713</v>
      </c>
      <c r="B472" t="s">
        <v>1764</v>
      </c>
      <c r="C472" s="8" t="s">
        <v>158</v>
      </c>
      <c r="D472">
        <v>5.29</v>
      </c>
      <c r="E472">
        <v>0.86</v>
      </c>
      <c r="F472" t="s">
        <v>2158</v>
      </c>
      <c r="G472" s="16">
        <v>3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2</v>
      </c>
      <c r="O472" s="16">
        <v>2</v>
      </c>
      <c r="P472" t="s">
        <v>1610</v>
      </c>
      <c r="Q472" t="s">
        <v>1676</v>
      </c>
      <c r="R472" t="s">
        <v>2384</v>
      </c>
      <c r="AA472" s="8"/>
      <c r="AB472" s="8"/>
      <c r="AC472" s="8"/>
      <c r="AE472" s="8"/>
      <c r="AF472" s="8"/>
    </row>
    <row r="473" spans="1:32" x14ac:dyDescent="0.15">
      <c r="A473" t="s">
        <v>1772</v>
      </c>
      <c r="B473" t="s">
        <v>1764</v>
      </c>
      <c r="C473" s="8" t="s">
        <v>158</v>
      </c>
      <c r="D473">
        <v>2.79</v>
      </c>
      <c r="E473">
        <v>1.62</v>
      </c>
      <c r="F473" t="s">
        <v>2055</v>
      </c>
      <c r="G473" s="16">
        <v>0</v>
      </c>
      <c r="H473" s="16">
        <v>2</v>
      </c>
      <c r="I473" s="16">
        <v>2</v>
      </c>
      <c r="J473" s="16">
        <v>2</v>
      </c>
      <c r="K473" s="16">
        <v>2</v>
      </c>
      <c r="L473" s="16">
        <v>2</v>
      </c>
      <c r="M473" s="16">
        <v>2</v>
      </c>
      <c r="N473" s="16">
        <v>2</v>
      </c>
      <c r="O473" s="16">
        <v>0</v>
      </c>
      <c r="P473" t="s">
        <v>1393</v>
      </c>
      <c r="Q473" t="s">
        <v>1634</v>
      </c>
      <c r="R473" t="s">
        <v>2212</v>
      </c>
      <c r="AA473" s="8"/>
      <c r="AB473" s="8"/>
      <c r="AC473" s="8"/>
      <c r="AE473" s="8"/>
      <c r="AF473" s="8"/>
    </row>
    <row r="474" spans="1:32" x14ac:dyDescent="0.15">
      <c r="A474" t="s">
        <v>1893</v>
      </c>
      <c r="B474" t="s">
        <v>1928</v>
      </c>
      <c r="C474" s="8" t="s">
        <v>158</v>
      </c>
      <c r="D474">
        <v>10.45</v>
      </c>
      <c r="E474">
        <v>1.57</v>
      </c>
      <c r="F474" t="s">
        <v>2113</v>
      </c>
      <c r="G474" s="16">
        <v>3</v>
      </c>
      <c r="H474" s="16">
        <v>0</v>
      </c>
      <c r="I474" s="16">
        <v>0</v>
      </c>
      <c r="J474" s="16">
        <v>0</v>
      </c>
      <c r="K474" s="16">
        <v>0</v>
      </c>
      <c r="L474" s="16">
        <v>2</v>
      </c>
      <c r="M474" s="16">
        <v>1</v>
      </c>
      <c r="N474" s="16">
        <v>2</v>
      </c>
      <c r="O474" s="16">
        <v>3</v>
      </c>
      <c r="P474" t="s">
        <v>1393</v>
      </c>
      <c r="Q474" t="s">
        <v>1613</v>
      </c>
      <c r="AA474" s="8"/>
      <c r="AB474" s="8"/>
      <c r="AC474" s="8"/>
      <c r="AE474" s="8"/>
      <c r="AF474" s="8"/>
    </row>
    <row r="475" spans="1:32" x14ac:dyDescent="0.15">
      <c r="A475" t="s">
        <v>1869</v>
      </c>
      <c r="B475" t="s">
        <v>1928</v>
      </c>
      <c r="C475" s="8" t="s">
        <v>158</v>
      </c>
      <c r="D475">
        <v>7.42</v>
      </c>
      <c r="E475">
        <v>1.66</v>
      </c>
      <c r="F475" t="s">
        <v>2326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2</v>
      </c>
      <c r="M475" s="16">
        <v>1</v>
      </c>
      <c r="N475" s="16">
        <v>2</v>
      </c>
      <c r="O475" s="16">
        <v>2</v>
      </c>
      <c r="P475" t="s">
        <v>1393</v>
      </c>
      <c r="Q475" t="s">
        <v>1313</v>
      </c>
      <c r="R475" t="s">
        <v>2244</v>
      </c>
      <c r="AA475" s="8"/>
      <c r="AB475" s="8"/>
      <c r="AC475" s="8"/>
      <c r="AE475" s="8"/>
      <c r="AF475" s="8"/>
    </row>
    <row r="476" spans="1:32" x14ac:dyDescent="0.15">
      <c r="A476" t="s">
        <v>438</v>
      </c>
      <c r="B476" t="s">
        <v>439</v>
      </c>
      <c r="C476" s="8" t="s">
        <v>158</v>
      </c>
      <c r="D476">
        <v>3.78</v>
      </c>
      <c r="E476">
        <f>0.43*2.73</f>
        <v>1.1738999999999999</v>
      </c>
      <c r="F476" t="s">
        <v>416</v>
      </c>
      <c r="G476" s="16">
        <v>3</v>
      </c>
      <c r="H476" s="16">
        <v>0</v>
      </c>
      <c r="I476" s="16">
        <v>0</v>
      </c>
      <c r="J476" s="16">
        <v>2</v>
      </c>
      <c r="K476" s="16">
        <v>1</v>
      </c>
      <c r="L476" s="16">
        <v>2</v>
      </c>
      <c r="M476" s="16">
        <v>1</v>
      </c>
      <c r="N476" s="16">
        <v>2</v>
      </c>
      <c r="O476" s="16">
        <v>1</v>
      </c>
      <c r="P476" t="s">
        <v>798</v>
      </c>
      <c r="Q476" t="s">
        <v>799</v>
      </c>
      <c r="AA476" s="8"/>
      <c r="AB476" s="8"/>
      <c r="AC476" s="8"/>
      <c r="AE476" s="8"/>
      <c r="AF476" s="8"/>
    </row>
    <row r="477" spans="1:32" x14ac:dyDescent="0.15">
      <c r="A477" t="s">
        <v>516</v>
      </c>
      <c r="B477" t="s">
        <v>594</v>
      </c>
      <c r="C477" s="8" t="s">
        <v>158</v>
      </c>
      <c r="D477">
        <v>5.36</v>
      </c>
      <c r="E477">
        <v>1.34</v>
      </c>
      <c r="F477" t="s">
        <v>595</v>
      </c>
      <c r="G477" s="16">
        <v>2</v>
      </c>
      <c r="H477" s="16">
        <v>1</v>
      </c>
      <c r="I477" s="16">
        <v>1</v>
      </c>
      <c r="J477" s="16">
        <v>1</v>
      </c>
      <c r="K477" s="16">
        <v>1</v>
      </c>
      <c r="L477" s="16">
        <v>1</v>
      </c>
      <c r="M477" s="16">
        <v>1</v>
      </c>
      <c r="N477" s="16">
        <v>2</v>
      </c>
      <c r="O477" s="16">
        <v>2</v>
      </c>
      <c r="P477" t="s">
        <v>517</v>
      </c>
      <c r="Q477" t="s">
        <v>799</v>
      </c>
      <c r="AA477" s="8"/>
      <c r="AB477" s="8"/>
      <c r="AC477" s="8"/>
      <c r="AE477" s="8"/>
      <c r="AF477" s="8"/>
    </row>
    <row r="478" spans="1:32" x14ac:dyDescent="0.15">
      <c r="A478" t="s">
        <v>494</v>
      </c>
      <c r="B478" t="s">
        <v>495</v>
      </c>
      <c r="C478" s="8" t="s">
        <v>158</v>
      </c>
      <c r="D478">
        <f>0.42*15.34</f>
        <v>6.4428000000000001</v>
      </c>
      <c r="E478">
        <f>0.42*2.63</f>
        <v>1.1045999999999998</v>
      </c>
      <c r="F478" t="s">
        <v>496</v>
      </c>
      <c r="G478" s="16">
        <v>3</v>
      </c>
      <c r="H478" s="16">
        <v>0</v>
      </c>
      <c r="I478" s="16">
        <v>0</v>
      </c>
      <c r="J478" s="16">
        <v>0</v>
      </c>
      <c r="K478" s="16">
        <v>0</v>
      </c>
      <c r="L478" s="16">
        <v>2</v>
      </c>
      <c r="M478" s="16">
        <v>1</v>
      </c>
      <c r="N478" s="16">
        <v>2</v>
      </c>
      <c r="O478" s="16">
        <v>2</v>
      </c>
      <c r="P478" t="s">
        <v>798</v>
      </c>
      <c r="Q478" t="s">
        <v>799</v>
      </c>
      <c r="AA478" s="8"/>
      <c r="AB478" s="8"/>
      <c r="AC478" s="8"/>
      <c r="AE478" s="8"/>
      <c r="AF478" s="8"/>
    </row>
    <row r="479" spans="1:32" x14ac:dyDescent="0.15">
      <c r="A479" t="s">
        <v>718</v>
      </c>
      <c r="B479" t="s">
        <v>719</v>
      </c>
      <c r="C479" s="8" t="s">
        <v>166</v>
      </c>
      <c r="D479">
        <v>4.04</v>
      </c>
      <c r="E479">
        <v>1.2</v>
      </c>
      <c r="F479" t="s">
        <v>2254</v>
      </c>
      <c r="G479" s="16">
        <v>3</v>
      </c>
      <c r="H479" s="16">
        <v>1</v>
      </c>
      <c r="I479" s="16">
        <v>1</v>
      </c>
      <c r="J479" s="16">
        <v>2</v>
      </c>
      <c r="K479" s="16">
        <v>2</v>
      </c>
      <c r="L479" s="16">
        <v>0</v>
      </c>
      <c r="M479" s="16">
        <v>1</v>
      </c>
      <c r="N479" s="16">
        <v>1</v>
      </c>
      <c r="O479" s="16">
        <v>2</v>
      </c>
      <c r="P479" t="s">
        <v>802</v>
      </c>
      <c r="Q479" t="s">
        <v>889</v>
      </c>
      <c r="AA479" s="8"/>
      <c r="AB479" s="8"/>
      <c r="AC479" s="8"/>
      <c r="AE479" s="8"/>
      <c r="AF479" s="8"/>
    </row>
    <row r="480" spans="1:32" x14ac:dyDescent="0.15">
      <c r="AA480" s="8"/>
      <c r="AB480" s="8"/>
      <c r="AC480" s="8"/>
    </row>
    <row r="481" spans="1:29" x14ac:dyDescent="0.15">
      <c r="A481" s="8" t="s">
        <v>3007</v>
      </c>
      <c r="AA481" s="8"/>
      <c r="AB481" s="8"/>
      <c r="AC481" s="8"/>
    </row>
    <row r="482" spans="1:29" x14ac:dyDescent="0.15">
      <c r="AA482" s="8"/>
      <c r="AB482" s="8"/>
      <c r="AC482" s="8"/>
    </row>
    <row r="483" spans="1:29" x14ac:dyDescent="0.15">
      <c r="AA483" s="8"/>
      <c r="AB483" s="8"/>
      <c r="AC483" s="8"/>
    </row>
    <row r="484" spans="1:29" x14ac:dyDescent="0.15">
      <c r="AA484" s="8"/>
      <c r="AB484" s="8"/>
      <c r="AC484" s="8"/>
    </row>
    <row r="485" spans="1:29" x14ac:dyDescent="0.15">
      <c r="AA485" s="8"/>
      <c r="AB485" s="8"/>
      <c r="AC485" s="8"/>
    </row>
    <row r="486" spans="1:29" x14ac:dyDescent="0.15">
      <c r="AA486" s="8"/>
      <c r="AB486" s="8"/>
      <c r="AC486" s="8"/>
    </row>
    <row r="487" spans="1:29" x14ac:dyDescent="0.15">
      <c r="AA487" s="8"/>
      <c r="AB487" s="8"/>
      <c r="AC487" s="8"/>
    </row>
    <row r="488" spans="1:29" x14ac:dyDescent="0.15">
      <c r="AA488" s="8"/>
      <c r="AB488" s="8"/>
      <c r="AC488" s="8"/>
    </row>
    <row r="489" spans="1:29" x14ac:dyDescent="0.15">
      <c r="AA489" s="8"/>
      <c r="AB489" s="8"/>
      <c r="AC489" s="8"/>
    </row>
    <row r="490" spans="1:29" x14ac:dyDescent="0.15">
      <c r="AA490" s="8"/>
      <c r="AB490" s="8"/>
      <c r="AC490" s="8"/>
    </row>
    <row r="491" spans="1:29" x14ac:dyDescent="0.15">
      <c r="AA491" s="8"/>
      <c r="AB491" s="8"/>
      <c r="AC491" s="8"/>
    </row>
    <row r="492" spans="1:29" x14ac:dyDescent="0.15">
      <c r="AA492" s="8"/>
      <c r="AB492" s="8"/>
      <c r="AC492" s="8"/>
    </row>
    <row r="493" spans="1:29" x14ac:dyDescent="0.15">
      <c r="AA493" s="8"/>
      <c r="AB493" s="8"/>
      <c r="AC493" s="8"/>
    </row>
    <row r="494" spans="1:29" x14ac:dyDescent="0.15">
      <c r="AA494" s="8"/>
      <c r="AB494" s="8"/>
      <c r="AC494" s="8"/>
    </row>
    <row r="495" spans="1:29" x14ac:dyDescent="0.15">
      <c r="AA495" s="8"/>
      <c r="AB495" s="8"/>
      <c r="AC495" s="8"/>
    </row>
    <row r="496" spans="1:29" x14ac:dyDescent="0.15">
      <c r="AA496" s="8"/>
      <c r="AB496" s="8"/>
      <c r="AC496" s="8"/>
    </row>
    <row r="497" spans="27:29" x14ac:dyDescent="0.15">
      <c r="AA497" s="8"/>
      <c r="AB497" s="8"/>
      <c r="AC497" s="8"/>
    </row>
    <row r="498" spans="27:29" x14ac:dyDescent="0.15">
      <c r="AA498" s="8"/>
      <c r="AB498" s="8"/>
      <c r="AC498" s="8"/>
    </row>
    <row r="499" spans="27:29" x14ac:dyDescent="0.15">
      <c r="AA499" s="8"/>
      <c r="AB499" s="8"/>
      <c r="AC499" s="8"/>
    </row>
    <row r="500" spans="27:29" x14ac:dyDescent="0.15">
      <c r="AA500" s="8"/>
      <c r="AB500" s="8"/>
      <c r="AC500" s="8"/>
    </row>
    <row r="501" spans="27:29" x14ac:dyDescent="0.15">
      <c r="AA501" s="8"/>
      <c r="AB501" s="8"/>
      <c r="AC501" s="8"/>
    </row>
    <row r="502" spans="27:29" x14ac:dyDescent="0.15">
      <c r="AA502" s="8"/>
      <c r="AB502" s="8"/>
      <c r="AC502" s="8"/>
    </row>
    <row r="503" spans="27:29" x14ac:dyDescent="0.15">
      <c r="AA503" s="8"/>
      <c r="AB503" s="8"/>
      <c r="AC503" s="8"/>
    </row>
    <row r="504" spans="27:29" x14ac:dyDescent="0.15">
      <c r="AA504" s="8"/>
      <c r="AB504" s="8"/>
      <c r="AC504" s="8"/>
    </row>
    <row r="505" spans="27:29" x14ac:dyDescent="0.15">
      <c r="AA505" s="8"/>
      <c r="AB505" s="8"/>
      <c r="AC505" s="8"/>
    </row>
    <row r="506" spans="27:29" x14ac:dyDescent="0.15">
      <c r="AA506" s="8"/>
      <c r="AB506" s="8"/>
      <c r="AC506" s="8"/>
    </row>
    <row r="507" spans="27:29" x14ac:dyDescent="0.15">
      <c r="AA507" s="8"/>
      <c r="AB507" s="8"/>
      <c r="AC507" s="8"/>
    </row>
    <row r="508" spans="27:29" x14ac:dyDescent="0.15">
      <c r="AA508" s="8"/>
      <c r="AB508" s="8"/>
      <c r="AC508" s="8"/>
    </row>
    <row r="509" spans="27:29" x14ac:dyDescent="0.15">
      <c r="AA509" s="8"/>
      <c r="AB509" s="8"/>
      <c r="AC509" s="8"/>
    </row>
    <row r="510" spans="27:29" x14ac:dyDescent="0.15">
      <c r="AA510" s="8"/>
      <c r="AB510" s="8"/>
      <c r="AC510" s="8"/>
    </row>
    <row r="511" spans="27:29" x14ac:dyDescent="0.15">
      <c r="AA511" s="8"/>
      <c r="AB511" s="8"/>
      <c r="AC511" s="8"/>
    </row>
    <row r="512" spans="27:29" x14ac:dyDescent="0.15">
      <c r="AA512" s="8"/>
      <c r="AB512" s="8"/>
      <c r="AC512" s="8"/>
    </row>
    <row r="513" spans="27:29" x14ac:dyDescent="0.15">
      <c r="AA513" s="8"/>
      <c r="AB513" s="8"/>
      <c r="AC513" s="8"/>
    </row>
    <row r="514" spans="27:29" x14ac:dyDescent="0.15">
      <c r="AA514" s="8"/>
      <c r="AB514" s="8"/>
      <c r="AC514" s="8"/>
    </row>
    <row r="515" spans="27:29" x14ac:dyDescent="0.15">
      <c r="AA515" s="8"/>
      <c r="AB515" s="8"/>
      <c r="AC515" s="8"/>
    </row>
    <row r="516" spans="27:29" x14ac:dyDescent="0.15">
      <c r="AA516" s="8"/>
      <c r="AB516" s="8"/>
      <c r="AC516" s="8"/>
    </row>
    <row r="517" spans="27:29" x14ac:dyDescent="0.15">
      <c r="AA517" s="8"/>
      <c r="AB517" s="8"/>
      <c r="AC517" s="8"/>
    </row>
    <row r="518" spans="27:29" x14ac:dyDescent="0.15">
      <c r="AA518" s="8"/>
      <c r="AB518" s="8"/>
      <c r="AC518" s="8"/>
    </row>
    <row r="519" spans="27:29" x14ac:dyDescent="0.15">
      <c r="AA519" s="8"/>
      <c r="AB519" s="8"/>
      <c r="AC519" s="8"/>
    </row>
    <row r="520" spans="27:29" x14ac:dyDescent="0.15">
      <c r="AA520" s="8"/>
      <c r="AB520" s="8"/>
      <c r="AC520" s="8"/>
    </row>
    <row r="521" spans="27:29" x14ac:dyDescent="0.15">
      <c r="AA521" s="8"/>
      <c r="AB521" s="8"/>
      <c r="AC521" s="8"/>
    </row>
    <row r="522" spans="27:29" x14ac:dyDescent="0.15">
      <c r="AA522" s="8"/>
      <c r="AB522" s="8"/>
      <c r="AC522" s="8"/>
    </row>
    <row r="523" spans="27:29" x14ac:dyDescent="0.15">
      <c r="AA523" s="8"/>
      <c r="AB523" s="8"/>
      <c r="AC523" s="8"/>
    </row>
    <row r="524" spans="27:29" x14ac:dyDescent="0.15">
      <c r="AA524" s="8"/>
      <c r="AB524" s="8"/>
    </row>
    <row r="525" spans="27:29" x14ac:dyDescent="0.15">
      <c r="AA525" s="8"/>
      <c r="AB525" s="8"/>
    </row>
    <row r="526" spans="27:29" x14ac:dyDescent="0.15">
      <c r="AA526" s="8"/>
      <c r="AB526" s="8"/>
    </row>
    <row r="527" spans="27:29" x14ac:dyDescent="0.15">
      <c r="AA527" s="8"/>
      <c r="AB527" s="8"/>
    </row>
    <row r="528" spans="27:29" x14ac:dyDescent="0.15">
      <c r="AA528" s="8"/>
      <c r="AB528" s="8"/>
    </row>
    <row r="529" spans="27:28" x14ac:dyDescent="0.15">
      <c r="AA529" s="8"/>
      <c r="AB529" s="8"/>
    </row>
    <row r="530" spans="27:28" x14ac:dyDescent="0.15">
      <c r="AA530" s="8"/>
      <c r="AB530" s="8"/>
    </row>
    <row r="531" spans="27:28" x14ac:dyDescent="0.15">
      <c r="AA531" s="8"/>
      <c r="AB531" s="8"/>
    </row>
    <row r="532" spans="27:28" x14ac:dyDescent="0.15">
      <c r="AA532" s="8"/>
      <c r="AB532" s="8"/>
    </row>
    <row r="533" spans="27:28" x14ac:dyDescent="0.15">
      <c r="AA533" s="8"/>
      <c r="AB533" s="8"/>
    </row>
    <row r="534" spans="27:28" x14ac:dyDescent="0.15">
      <c r="AA534" s="8"/>
      <c r="AB534" s="8"/>
    </row>
    <row r="535" spans="27:28" x14ac:dyDescent="0.15">
      <c r="AA535" s="8"/>
      <c r="AB535" s="8"/>
    </row>
    <row r="536" spans="27:28" x14ac:dyDescent="0.15">
      <c r="AA536" s="8"/>
      <c r="AB536" s="8"/>
    </row>
    <row r="537" spans="27:28" x14ac:dyDescent="0.15">
      <c r="AA537" s="8"/>
      <c r="AB537" s="8"/>
    </row>
    <row r="538" spans="27:28" x14ac:dyDescent="0.15">
      <c r="AA538" s="8"/>
      <c r="AB538" s="8"/>
    </row>
    <row r="539" spans="27:28" x14ac:dyDescent="0.15">
      <c r="AA539" s="8"/>
      <c r="AB539" s="8"/>
    </row>
    <row r="540" spans="27:28" x14ac:dyDescent="0.15">
      <c r="AA540" s="8"/>
      <c r="AB540" s="8"/>
    </row>
    <row r="541" spans="27:28" x14ac:dyDescent="0.15">
      <c r="AA541" s="8"/>
      <c r="AB541" s="8"/>
    </row>
    <row r="542" spans="27:28" x14ac:dyDescent="0.15">
      <c r="AA542" s="8"/>
      <c r="AB542" s="8"/>
    </row>
    <row r="543" spans="27:28" x14ac:dyDescent="0.15">
      <c r="AA543" s="8"/>
      <c r="AB543" s="8"/>
    </row>
    <row r="544" spans="27:28" x14ac:dyDescent="0.15">
      <c r="AA544" s="8"/>
      <c r="AB544" s="8"/>
    </row>
    <row r="545" spans="27:28" x14ac:dyDescent="0.15">
      <c r="AA545" s="8"/>
      <c r="AB545" s="8"/>
    </row>
    <row r="546" spans="27:28" x14ac:dyDescent="0.15">
      <c r="AA546" s="8"/>
      <c r="AB546" s="8"/>
    </row>
    <row r="547" spans="27:28" x14ac:dyDescent="0.15">
      <c r="AA547" s="8"/>
      <c r="AB547" s="8"/>
    </row>
    <row r="548" spans="27:28" x14ac:dyDescent="0.15">
      <c r="AA548" s="8"/>
      <c r="AB548" s="8"/>
    </row>
    <row r="549" spans="27:28" x14ac:dyDescent="0.15">
      <c r="AA549" s="8"/>
      <c r="AB549" s="8"/>
    </row>
    <row r="550" spans="27:28" x14ac:dyDescent="0.15">
      <c r="AA550" s="8"/>
      <c r="AB550" s="8"/>
    </row>
    <row r="551" spans="27:28" x14ac:dyDescent="0.15">
      <c r="AA551" s="8"/>
      <c r="AB551" s="8"/>
    </row>
    <row r="552" spans="27:28" x14ac:dyDescent="0.15">
      <c r="AA552" s="8"/>
      <c r="AB552" s="8"/>
    </row>
    <row r="553" spans="27:28" x14ac:dyDescent="0.15">
      <c r="AA553" s="8"/>
      <c r="AB553" s="8"/>
    </row>
    <row r="554" spans="27:28" x14ac:dyDescent="0.15">
      <c r="AA554" s="8"/>
      <c r="AB554" s="8"/>
    </row>
    <row r="555" spans="27:28" x14ac:dyDescent="0.15">
      <c r="AA555" s="8"/>
      <c r="AB555" s="8"/>
    </row>
    <row r="556" spans="27:28" x14ac:dyDescent="0.15">
      <c r="AA556" s="8"/>
      <c r="AB556" s="8"/>
    </row>
    <row r="557" spans="27:28" x14ac:dyDescent="0.15">
      <c r="AA557" s="8"/>
      <c r="AB557" s="8"/>
    </row>
    <row r="558" spans="27:28" x14ac:dyDescent="0.15">
      <c r="AA558" s="8"/>
      <c r="AB558" s="8"/>
    </row>
    <row r="559" spans="27:28" x14ac:dyDescent="0.15">
      <c r="AA559" s="8"/>
      <c r="AB559" s="8"/>
    </row>
    <row r="560" spans="27:28" x14ac:dyDescent="0.15">
      <c r="AA560" s="8"/>
      <c r="AB560" s="8"/>
    </row>
    <row r="561" spans="27:28" x14ac:dyDescent="0.15">
      <c r="AA561" s="8"/>
      <c r="AB561" s="8"/>
    </row>
    <row r="562" spans="27:28" x14ac:dyDescent="0.15">
      <c r="AA562" s="8"/>
      <c r="AB562" s="8"/>
    </row>
  </sheetData>
  <sortState ref="A1:S479">
    <sortCondition ref="A1:A479"/>
  </sortState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B1" workbookViewId="0">
      <selection activeCell="A34" sqref="A34"/>
    </sheetView>
  </sheetViews>
  <sheetFormatPr baseColWidth="10" defaultRowHeight="13" x14ac:dyDescent="0.15"/>
  <cols>
    <col min="1" max="1" width="19.83203125" bestFit="1" customWidth="1"/>
    <col min="2" max="2" width="13.83203125" bestFit="1" customWidth="1"/>
    <col min="5" max="5" width="12.33203125" bestFit="1" customWidth="1"/>
    <col min="6" max="6" width="11.83203125" bestFit="1" customWidth="1"/>
    <col min="10" max="10" width="15.5" bestFit="1" customWidth="1"/>
    <col min="12" max="12" width="11.83203125" bestFit="1" customWidth="1"/>
    <col min="13" max="13" width="13.33203125" bestFit="1" customWidth="1"/>
    <col min="14" max="14" width="15.5" bestFit="1" customWidth="1"/>
    <col min="17" max="17" width="59" customWidth="1"/>
  </cols>
  <sheetData>
    <row r="1" spans="1:17" x14ac:dyDescent="0.15">
      <c r="A1" t="s">
        <v>1280</v>
      </c>
      <c r="B1" t="s">
        <v>1290</v>
      </c>
      <c r="C1" t="s">
        <v>1281</v>
      </c>
      <c r="D1" t="s">
        <v>1282</v>
      </c>
      <c r="E1" t="s">
        <v>1283</v>
      </c>
      <c r="F1" t="s">
        <v>1388</v>
      </c>
      <c r="G1" t="s">
        <v>1226</v>
      </c>
      <c r="H1" t="s">
        <v>1285</v>
      </c>
      <c r="I1" t="s">
        <v>1227</v>
      </c>
      <c r="J1" t="s">
        <v>1286</v>
      </c>
      <c r="K1" t="s">
        <v>1287</v>
      </c>
      <c r="L1" t="s">
        <v>1288</v>
      </c>
      <c r="M1" t="s">
        <v>1289</v>
      </c>
      <c r="N1" t="s">
        <v>1195</v>
      </c>
      <c r="O1" t="s">
        <v>1224</v>
      </c>
      <c r="P1" t="s">
        <v>1228</v>
      </c>
      <c r="Q1" t="s">
        <v>1225</v>
      </c>
    </row>
    <row r="3" spans="1:17" x14ac:dyDescent="0.15">
      <c r="A3" t="s">
        <v>344</v>
      </c>
      <c r="B3" t="s">
        <v>2519</v>
      </c>
      <c r="C3">
        <v>1.28</v>
      </c>
      <c r="D3">
        <v>0.49</v>
      </c>
      <c r="E3" t="s">
        <v>345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2</v>
      </c>
      <c r="N3" s="16">
        <v>0</v>
      </c>
      <c r="O3" t="s">
        <v>346</v>
      </c>
      <c r="P3" t="s">
        <v>369</v>
      </c>
    </row>
    <row r="4" spans="1:17" x14ac:dyDescent="0.15">
      <c r="A4" t="s">
        <v>236</v>
      </c>
      <c r="B4" t="s">
        <v>2519</v>
      </c>
      <c r="C4">
        <v>4.63</v>
      </c>
      <c r="D4">
        <v>2.25</v>
      </c>
      <c r="E4" t="s">
        <v>347</v>
      </c>
      <c r="F4" s="16">
        <v>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2</v>
      </c>
      <c r="N4" s="16">
        <v>1</v>
      </c>
      <c r="O4" t="s">
        <v>2162</v>
      </c>
      <c r="P4" t="s">
        <v>2281</v>
      </c>
      <c r="Q4" t="s">
        <v>370</v>
      </c>
    </row>
    <row r="5" spans="1:17" x14ac:dyDescent="0.15">
      <c r="A5" t="s">
        <v>246</v>
      </c>
      <c r="B5" t="s">
        <v>2519</v>
      </c>
      <c r="C5">
        <v>9.1199999999999992</v>
      </c>
      <c r="D5">
        <v>3.04</v>
      </c>
      <c r="E5" t="s">
        <v>247</v>
      </c>
      <c r="F5" s="16">
        <v>3</v>
      </c>
      <c r="G5" s="16">
        <v>2</v>
      </c>
      <c r="H5" s="16">
        <v>2</v>
      </c>
      <c r="I5" s="16">
        <v>2</v>
      </c>
      <c r="J5" s="16">
        <v>2</v>
      </c>
      <c r="K5" s="16">
        <v>0</v>
      </c>
      <c r="L5" s="16">
        <v>1</v>
      </c>
      <c r="M5" s="16">
        <v>2</v>
      </c>
      <c r="N5" s="16">
        <v>2</v>
      </c>
      <c r="O5" t="s">
        <v>2162</v>
      </c>
      <c r="P5" t="s">
        <v>2270</v>
      </c>
      <c r="Q5" t="s">
        <v>255</v>
      </c>
    </row>
    <row r="6" spans="1:17" x14ac:dyDescent="0.15">
      <c r="A6" t="s">
        <v>360</v>
      </c>
      <c r="B6" t="s">
        <v>248</v>
      </c>
      <c r="C6">
        <v>4.78</v>
      </c>
      <c r="D6">
        <v>2.44</v>
      </c>
      <c r="E6" t="s">
        <v>365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2</v>
      </c>
      <c r="N6" s="16">
        <v>0</v>
      </c>
      <c r="O6" t="s">
        <v>2162</v>
      </c>
      <c r="P6" t="s">
        <v>2163</v>
      </c>
      <c r="Q6" t="s">
        <v>343</v>
      </c>
    </row>
    <row r="7" spans="1:17" x14ac:dyDescent="0.15">
      <c r="A7" t="s">
        <v>249</v>
      </c>
      <c r="B7" t="s">
        <v>405</v>
      </c>
      <c r="C7">
        <v>5.1100000000000003</v>
      </c>
      <c r="D7">
        <v>0.89</v>
      </c>
      <c r="E7" t="s">
        <v>406</v>
      </c>
      <c r="F7" s="16">
        <v>0</v>
      </c>
      <c r="G7" s="16">
        <v>2</v>
      </c>
      <c r="H7" s="16">
        <v>1</v>
      </c>
      <c r="I7" s="16">
        <v>2</v>
      </c>
      <c r="J7" s="16">
        <v>2</v>
      </c>
      <c r="K7" s="16">
        <v>1</v>
      </c>
      <c r="L7" s="16">
        <v>2</v>
      </c>
      <c r="M7" s="16">
        <v>2</v>
      </c>
      <c r="N7" s="16">
        <v>2</v>
      </c>
      <c r="O7" t="s">
        <v>407</v>
      </c>
      <c r="P7" t="s">
        <v>408</v>
      </c>
    </row>
    <row r="8" spans="1:17" x14ac:dyDescent="0.15">
      <c r="A8" t="s">
        <v>487</v>
      </c>
      <c r="B8" t="s">
        <v>248</v>
      </c>
      <c r="C8">
        <v>4.96</v>
      </c>
      <c r="D8">
        <v>3.83</v>
      </c>
      <c r="E8" t="s">
        <v>488</v>
      </c>
      <c r="F8" s="16">
        <v>3</v>
      </c>
      <c r="G8" s="16">
        <v>2</v>
      </c>
      <c r="H8" s="16">
        <v>1</v>
      </c>
      <c r="I8" s="16">
        <v>0</v>
      </c>
      <c r="J8" s="16">
        <v>0</v>
      </c>
      <c r="K8" s="16">
        <v>0</v>
      </c>
      <c r="L8" s="16">
        <v>1</v>
      </c>
      <c r="M8" s="16">
        <v>2</v>
      </c>
      <c r="N8" s="16">
        <v>1</v>
      </c>
      <c r="O8" t="s">
        <v>2162</v>
      </c>
      <c r="P8" t="s">
        <v>2319</v>
      </c>
      <c r="Q8" t="s">
        <v>389</v>
      </c>
    </row>
    <row r="9" spans="1:17" x14ac:dyDescent="0.15">
      <c r="A9" t="s">
        <v>446</v>
      </c>
      <c r="B9" t="s">
        <v>447</v>
      </c>
      <c r="C9">
        <v>7.29</v>
      </c>
      <c r="D9">
        <v>4.6100000000000003</v>
      </c>
      <c r="E9" t="s">
        <v>448</v>
      </c>
      <c r="F9" s="16">
        <v>0</v>
      </c>
      <c r="G9" s="16">
        <v>6</v>
      </c>
      <c r="H9" s="16">
        <v>3</v>
      </c>
      <c r="I9" s="16">
        <v>0</v>
      </c>
      <c r="J9" s="16">
        <v>0</v>
      </c>
      <c r="K9" s="16">
        <v>0</v>
      </c>
      <c r="L9" s="16">
        <v>1</v>
      </c>
      <c r="M9" s="16">
        <v>3</v>
      </c>
      <c r="N9" s="16">
        <v>0</v>
      </c>
      <c r="O9" t="s">
        <v>2162</v>
      </c>
      <c r="P9" t="s">
        <v>2443</v>
      </c>
    </row>
    <row r="10" spans="1:17" x14ac:dyDescent="0.15">
      <c r="A10" t="s">
        <v>449</v>
      </c>
      <c r="B10" t="s">
        <v>405</v>
      </c>
      <c r="C10">
        <v>9.66</v>
      </c>
      <c r="D10">
        <v>1.1000000000000001</v>
      </c>
      <c r="E10" t="s">
        <v>450</v>
      </c>
      <c r="F10" s="16">
        <v>2</v>
      </c>
      <c r="G10" s="16">
        <v>4</v>
      </c>
      <c r="H10" s="16">
        <v>2</v>
      </c>
      <c r="I10" s="16">
        <v>1</v>
      </c>
      <c r="J10" s="16">
        <v>1</v>
      </c>
      <c r="K10" s="16">
        <v>0</v>
      </c>
      <c r="L10" s="16">
        <v>1</v>
      </c>
      <c r="M10" s="16">
        <v>2</v>
      </c>
      <c r="N10" s="16">
        <v>3</v>
      </c>
      <c r="O10" t="s">
        <v>2377</v>
      </c>
      <c r="P10" t="s">
        <v>451</v>
      </c>
    </row>
    <row r="11" spans="1:17" x14ac:dyDescent="0.15">
      <c r="A11" t="s">
        <v>452</v>
      </c>
      <c r="B11" t="s">
        <v>248</v>
      </c>
      <c r="C11">
        <v>8.73</v>
      </c>
      <c r="D11">
        <v>3.64</v>
      </c>
      <c r="E11" t="s">
        <v>363</v>
      </c>
      <c r="F11" s="16">
        <v>0</v>
      </c>
      <c r="G11" s="16">
        <v>4</v>
      </c>
      <c r="H11" s="16">
        <v>2</v>
      </c>
      <c r="I11" s="16">
        <v>0</v>
      </c>
      <c r="J11" s="16">
        <v>0</v>
      </c>
      <c r="K11" s="16">
        <v>0</v>
      </c>
      <c r="L11" s="16">
        <v>1</v>
      </c>
      <c r="M11" s="16">
        <v>2</v>
      </c>
      <c r="N11" s="16">
        <v>1</v>
      </c>
      <c r="O11" t="s">
        <v>2162</v>
      </c>
      <c r="P11" t="s">
        <v>2319</v>
      </c>
    </row>
    <row r="12" spans="1:17" x14ac:dyDescent="0.15">
      <c r="A12" t="s">
        <v>361</v>
      </c>
      <c r="B12" t="s">
        <v>248</v>
      </c>
      <c r="C12">
        <v>11.8</v>
      </c>
      <c r="D12">
        <v>4.51</v>
      </c>
      <c r="E12" t="s">
        <v>364</v>
      </c>
      <c r="F12" s="16">
        <v>0</v>
      </c>
      <c r="G12" s="16">
        <v>4</v>
      </c>
      <c r="H12" s="16">
        <v>2</v>
      </c>
      <c r="I12" s="16">
        <v>0</v>
      </c>
      <c r="J12" s="16">
        <v>0</v>
      </c>
      <c r="K12" s="16">
        <v>0</v>
      </c>
      <c r="L12" s="16">
        <v>1</v>
      </c>
      <c r="M12" s="16">
        <v>2</v>
      </c>
      <c r="N12" s="16">
        <v>2</v>
      </c>
      <c r="O12" t="s">
        <v>362</v>
      </c>
      <c r="P12" t="s">
        <v>451</v>
      </c>
    </row>
    <row r="13" spans="1:17" x14ac:dyDescent="0.15">
      <c r="A13" t="s">
        <v>366</v>
      </c>
      <c r="B13" t="s">
        <v>367</v>
      </c>
      <c r="C13">
        <v>10.19</v>
      </c>
      <c r="D13">
        <v>3.63</v>
      </c>
      <c r="E13" t="s">
        <v>368</v>
      </c>
      <c r="F13" s="16">
        <v>0</v>
      </c>
      <c r="G13" s="16">
        <v>1</v>
      </c>
      <c r="H13" s="16">
        <v>2</v>
      </c>
      <c r="I13" s="16">
        <v>2</v>
      </c>
      <c r="J13" s="16">
        <v>2</v>
      </c>
      <c r="K13" s="16">
        <v>0</v>
      </c>
      <c r="L13" s="16">
        <v>1</v>
      </c>
      <c r="M13" s="16">
        <v>2</v>
      </c>
      <c r="N13" s="16">
        <v>2</v>
      </c>
      <c r="O13" t="s">
        <v>2162</v>
      </c>
      <c r="P13" t="s">
        <v>2319</v>
      </c>
    </row>
    <row r="14" spans="1:17" x14ac:dyDescent="0.15">
      <c r="A14" t="s">
        <v>390</v>
      </c>
      <c r="B14" t="s">
        <v>391</v>
      </c>
      <c r="C14">
        <v>3.17</v>
      </c>
      <c r="D14">
        <v>0.49</v>
      </c>
      <c r="E14" t="s">
        <v>392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2</v>
      </c>
      <c r="N14" s="16">
        <v>2</v>
      </c>
      <c r="O14" t="s">
        <v>393</v>
      </c>
      <c r="P14" t="s">
        <v>451</v>
      </c>
      <c r="Q14" t="s">
        <v>332</v>
      </c>
    </row>
    <row r="15" spans="1:17" x14ac:dyDescent="0.15">
      <c r="A15" t="s">
        <v>192</v>
      </c>
      <c r="B15" t="s">
        <v>405</v>
      </c>
      <c r="C15">
        <v>4.8499999999999996</v>
      </c>
      <c r="D15">
        <v>1.32</v>
      </c>
      <c r="E15" t="s">
        <v>316</v>
      </c>
      <c r="F15" s="16">
        <v>0</v>
      </c>
      <c r="G15" s="16">
        <v>1</v>
      </c>
      <c r="H15" s="16">
        <v>1</v>
      </c>
      <c r="I15" s="16">
        <v>1</v>
      </c>
      <c r="J15" s="16">
        <v>2</v>
      </c>
      <c r="K15" s="16">
        <v>0</v>
      </c>
      <c r="L15" s="16">
        <v>1</v>
      </c>
      <c r="M15" s="16">
        <v>1</v>
      </c>
      <c r="N15" s="16">
        <v>3</v>
      </c>
      <c r="O15" t="s">
        <v>2162</v>
      </c>
      <c r="P15" t="s">
        <v>2319</v>
      </c>
    </row>
    <row r="16" spans="1:17" x14ac:dyDescent="0.15">
      <c r="A16" t="s">
        <v>417</v>
      </c>
      <c r="B16" t="s">
        <v>248</v>
      </c>
      <c r="C16">
        <v>3.84</v>
      </c>
      <c r="D16">
        <v>1.88</v>
      </c>
      <c r="E16" t="s">
        <v>418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0</v>
      </c>
      <c r="O16" t="s">
        <v>2162</v>
      </c>
      <c r="P16" t="s">
        <v>2163</v>
      </c>
    </row>
    <row r="17" spans="1:17" x14ac:dyDescent="0.15">
      <c r="A17" t="s">
        <v>320</v>
      </c>
      <c r="B17" t="s">
        <v>321</v>
      </c>
      <c r="C17">
        <v>3.1</v>
      </c>
      <c r="D17">
        <v>1.41</v>
      </c>
      <c r="E17" t="s">
        <v>322</v>
      </c>
      <c r="F17" s="16">
        <v>0</v>
      </c>
      <c r="G17" s="16">
        <v>4</v>
      </c>
      <c r="H17" s="16">
        <v>2</v>
      </c>
      <c r="I17" s="16">
        <v>0</v>
      </c>
      <c r="J17" s="16">
        <v>0</v>
      </c>
      <c r="K17" s="16">
        <v>1</v>
      </c>
      <c r="L17" s="16">
        <v>1</v>
      </c>
      <c r="M17" s="16">
        <v>2</v>
      </c>
      <c r="N17" s="16">
        <v>2</v>
      </c>
      <c r="O17" t="s">
        <v>2505</v>
      </c>
      <c r="P17" t="s">
        <v>2319</v>
      </c>
    </row>
    <row r="18" spans="1:17" x14ac:dyDescent="0.15">
      <c r="A18" s="3" t="s">
        <v>323</v>
      </c>
      <c r="B18" t="s">
        <v>324</v>
      </c>
      <c r="C18">
        <v>3.7</v>
      </c>
      <c r="D18">
        <v>1.74</v>
      </c>
      <c r="E18" t="s">
        <v>419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2</v>
      </c>
      <c r="O18" t="s">
        <v>2162</v>
      </c>
      <c r="P18" t="s">
        <v>2281</v>
      </c>
    </row>
    <row r="19" spans="1:17" x14ac:dyDescent="0.15">
      <c r="A19" t="s">
        <v>420</v>
      </c>
      <c r="B19" t="s">
        <v>248</v>
      </c>
      <c r="C19">
        <v>3.53</v>
      </c>
      <c r="D19">
        <v>2.12</v>
      </c>
      <c r="E19" t="s">
        <v>421</v>
      </c>
      <c r="F19" s="16">
        <v>0</v>
      </c>
      <c r="G19" s="16">
        <v>2</v>
      </c>
      <c r="H19" s="16">
        <v>1</v>
      </c>
      <c r="I19" s="16">
        <v>0</v>
      </c>
      <c r="J19" s="16">
        <v>0</v>
      </c>
      <c r="K19" s="16">
        <v>0</v>
      </c>
      <c r="L19" s="16">
        <v>1</v>
      </c>
      <c r="M19" s="16">
        <v>2</v>
      </c>
      <c r="N19" s="16">
        <v>1</v>
      </c>
      <c r="O19" t="s">
        <v>2162</v>
      </c>
      <c r="P19" t="s">
        <v>2443</v>
      </c>
      <c r="Q19" t="s">
        <v>2551</v>
      </c>
    </row>
    <row r="20" spans="1:17" x14ac:dyDescent="0.15">
      <c r="A20" t="s">
        <v>444</v>
      </c>
      <c r="B20" t="s">
        <v>248</v>
      </c>
      <c r="C20">
        <v>3.26</v>
      </c>
      <c r="D20">
        <v>1.22</v>
      </c>
      <c r="E20" t="s">
        <v>445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2</v>
      </c>
      <c r="N20" s="16">
        <v>2</v>
      </c>
      <c r="O20" t="s">
        <v>393</v>
      </c>
      <c r="P20" t="s">
        <v>451</v>
      </c>
      <c r="Q20" t="s">
        <v>333</v>
      </c>
    </row>
    <row r="21" spans="1:17" x14ac:dyDescent="0.15">
      <c r="A21" t="s">
        <v>409</v>
      </c>
      <c r="B21" t="s">
        <v>410</v>
      </c>
      <c r="C21">
        <v>4.1399999999999997</v>
      </c>
      <c r="D21">
        <v>1.85</v>
      </c>
      <c r="E21" t="s">
        <v>411</v>
      </c>
      <c r="F21" s="16">
        <v>0</v>
      </c>
      <c r="G21" s="16">
        <v>1</v>
      </c>
      <c r="H21" s="16">
        <v>1</v>
      </c>
      <c r="I21" s="16">
        <v>2</v>
      </c>
      <c r="J21" s="16">
        <v>2</v>
      </c>
      <c r="K21" s="16">
        <v>1</v>
      </c>
      <c r="L21" s="16">
        <v>1</v>
      </c>
      <c r="M21" s="16">
        <v>2</v>
      </c>
      <c r="N21" s="16">
        <v>1</v>
      </c>
      <c r="O21" t="s">
        <v>2162</v>
      </c>
      <c r="P21" t="s">
        <v>2319</v>
      </c>
    </row>
    <row r="22" spans="1:17" x14ac:dyDescent="0.15">
      <c r="A22" t="s">
        <v>412</v>
      </c>
      <c r="B22" t="s">
        <v>405</v>
      </c>
      <c r="C22">
        <v>2.68</v>
      </c>
      <c r="D22">
        <v>0.66</v>
      </c>
      <c r="E22" t="s">
        <v>413</v>
      </c>
      <c r="F22" s="16">
        <v>0</v>
      </c>
      <c r="G22" s="16">
        <v>6</v>
      </c>
      <c r="H22" s="16">
        <v>1</v>
      </c>
      <c r="I22" s="16">
        <v>2</v>
      </c>
      <c r="J22" s="16">
        <v>2</v>
      </c>
      <c r="K22" s="16">
        <v>0</v>
      </c>
      <c r="L22" s="16">
        <v>1</v>
      </c>
      <c r="M22" s="16">
        <v>2</v>
      </c>
      <c r="N22" s="16">
        <v>2</v>
      </c>
      <c r="O22" t="s">
        <v>2162</v>
      </c>
      <c r="P22" t="s">
        <v>2319</v>
      </c>
    </row>
    <row r="23" spans="1:17" x14ac:dyDescent="0.15">
      <c r="A23" t="s">
        <v>414</v>
      </c>
      <c r="B23" t="s">
        <v>248</v>
      </c>
      <c r="C23">
        <v>14.03</v>
      </c>
      <c r="D23">
        <v>7.02</v>
      </c>
      <c r="E23" t="s">
        <v>415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1</v>
      </c>
      <c r="M23" s="16">
        <v>2</v>
      </c>
      <c r="N23" s="16">
        <v>0</v>
      </c>
      <c r="O23" t="s">
        <v>2162</v>
      </c>
      <c r="P23" t="s">
        <v>2443</v>
      </c>
      <c r="Q23" t="s">
        <v>276</v>
      </c>
    </row>
    <row r="24" spans="1:17" x14ac:dyDescent="0.15">
      <c r="A24" t="s">
        <v>250</v>
      </c>
      <c r="B24" t="s">
        <v>248</v>
      </c>
      <c r="C24">
        <v>9.5399999999999991</v>
      </c>
      <c r="D24">
        <v>5.0599999999999996</v>
      </c>
      <c r="E24" t="s">
        <v>337</v>
      </c>
      <c r="F24" s="16">
        <v>0</v>
      </c>
      <c r="G24" s="16">
        <v>1</v>
      </c>
      <c r="H24" s="16">
        <v>1</v>
      </c>
      <c r="I24" s="16">
        <v>2</v>
      </c>
      <c r="J24" s="16">
        <v>2</v>
      </c>
      <c r="K24" s="16">
        <v>0</v>
      </c>
      <c r="L24" s="16">
        <v>1</v>
      </c>
      <c r="M24" s="16">
        <v>2</v>
      </c>
      <c r="N24" s="16">
        <v>2</v>
      </c>
      <c r="O24" t="s">
        <v>2162</v>
      </c>
      <c r="P24" t="s">
        <v>2319</v>
      </c>
      <c r="Q24" t="s">
        <v>277</v>
      </c>
    </row>
    <row r="25" spans="1:17" x14ac:dyDescent="0.15">
      <c r="A25" t="s">
        <v>338</v>
      </c>
      <c r="B25" t="s">
        <v>248</v>
      </c>
      <c r="C25">
        <v>3.51</v>
      </c>
      <c r="D25">
        <v>1.23</v>
      </c>
      <c r="E25" t="s">
        <v>237</v>
      </c>
      <c r="F25" s="16">
        <v>0</v>
      </c>
      <c r="G25" s="16">
        <v>4</v>
      </c>
      <c r="H25" s="16">
        <v>1</v>
      </c>
      <c r="I25" s="16">
        <v>0</v>
      </c>
      <c r="J25" s="16">
        <v>0</v>
      </c>
      <c r="K25" s="16">
        <v>1</v>
      </c>
      <c r="L25" s="16">
        <v>1</v>
      </c>
      <c r="M25" s="16">
        <v>2</v>
      </c>
      <c r="N25" s="16">
        <v>2</v>
      </c>
      <c r="O25" t="s">
        <v>238</v>
      </c>
      <c r="P25" t="s">
        <v>451</v>
      </c>
      <c r="Q25" t="s">
        <v>2593</v>
      </c>
    </row>
    <row r="26" spans="1:17" x14ac:dyDescent="0.15">
      <c r="A26" t="s">
        <v>422</v>
      </c>
      <c r="B26" t="s">
        <v>324</v>
      </c>
      <c r="C26">
        <v>1.59</v>
      </c>
      <c r="D26">
        <v>0.57999999999999996</v>
      </c>
      <c r="E26" t="s">
        <v>423</v>
      </c>
      <c r="F26" s="16">
        <v>0</v>
      </c>
      <c r="G26" s="16">
        <v>2</v>
      </c>
      <c r="H26" s="16">
        <v>1</v>
      </c>
      <c r="I26" s="16">
        <v>2</v>
      </c>
      <c r="J26" s="16">
        <v>1</v>
      </c>
      <c r="K26" s="16">
        <v>0</v>
      </c>
      <c r="L26" s="16">
        <v>1</v>
      </c>
      <c r="M26" s="16">
        <v>2</v>
      </c>
      <c r="N26" s="16">
        <v>2</v>
      </c>
      <c r="O26" t="s">
        <v>2162</v>
      </c>
      <c r="P26" t="s">
        <v>2319</v>
      </c>
    </row>
    <row r="27" spans="1:17" x14ac:dyDescent="0.15">
      <c r="A27" t="s">
        <v>334</v>
      </c>
      <c r="B27" t="s">
        <v>2230</v>
      </c>
      <c r="C27">
        <v>4.8</v>
      </c>
      <c r="D27">
        <v>1.19</v>
      </c>
      <c r="E27" t="s">
        <v>325</v>
      </c>
      <c r="F27" s="16">
        <v>0</v>
      </c>
      <c r="G27" s="16">
        <v>3</v>
      </c>
      <c r="H27" s="16">
        <v>1</v>
      </c>
      <c r="I27" s="16">
        <v>2</v>
      </c>
      <c r="J27" s="16">
        <v>2</v>
      </c>
      <c r="K27" s="16">
        <v>0</v>
      </c>
      <c r="L27" s="16">
        <v>1</v>
      </c>
      <c r="M27" s="16">
        <v>2</v>
      </c>
      <c r="N27" s="19">
        <v>3</v>
      </c>
      <c r="O27" t="s">
        <v>2162</v>
      </c>
      <c r="P27" t="s">
        <v>2319</v>
      </c>
    </row>
    <row r="28" spans="1:17" x14ac:dyDescent="0.15">
      <c r="A28" t="s">
        <v>251</v>
      </c>
      <c r="B28" t="s">
        <v>324</v>
      </c>
      <c r="C28">
        <v>4.51</v>
      </c>
      <c r="D28">
        <v>2.36</v>
      </c>
      <c r="E28" t="s">
        <v>326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</v>
      </c>
      <c r="M28" s="16">
        <v>2</v>
      </c>
      <c r="N28" s="16">
        <v>0</v>
      </c>
      <c r="O28" t="s">
        <v>2162</v>
      </c>
      <c r="P28" t="s">
        <v>2443</v>
      </c>
      <c r="Q28" t="s">
        <v>351</v>
      </c>
    </row>
    <row r="29" spans="1:17" x14ac:dyDescent="0.15">
      <c r="A29" t="s">
        <v>335</v>
      </c>
      <c r="B29" t="s">
        <v>336</v>
      </c>
      <c r="C29">
        <v>4.74</v>
      </c>
      <c r="D29">
        <v>3.25</v>
      </c>
      <c r="E29" t="s">
        <v>327</v>
      </c>
      <c r="F29" s="16">
        <v>0</v>
      </c>
      <c r="G29" s="16">
        <v>0</v>
      </c>
      <c r="H29" s="16">
        <v>0</v>
      </c>
      <c r="I29" s="16">
        <v>2</v>
      </c>
      <c r="J29" s="16">
        <v>2</v>
      </c>
      <c r="K29" s="16">
        <v>0</v>
      </c>
      <c r="L29" s="16">
        <v>1</v>
      </c>
      <c r="M29" s="16">
        <v>3</v>
      </c>
      <c r="N29" s="16">
        <v>2</v>
      </c>
      <c r="O29" t="s">
        <v>2162</v>
      </c>
      <c r="P29" t="s">
        <v>2319</v>
      </c>
      <c r="Q29" t="s">
        <v>2651</v>
      </c>
    </row>
    <row r="30" spans="1:17" x14ac:dyDescent="0.15">
      <c r="A30" t="s">
        <v>252</v>
      </c>
      <c r="B30" t="s">
        <v>321</v>
      </c>
      <c r="C30">
        <v>2.41</v>
      </c>
      <c r="D30">
        <v>1.1100000000000001</v>
      </c>
      <c r="E30" t="s">
        <v>328</v>
      </c>
      <c r="F30" s="16">
        <v>0</v>
      </c>
      <c r="G30" s="16">
        <v>5</v>
      </c>
      <c r="H30" s="16">
        <v>3</v>
      </c>
      <c r="I30" s="16">
        <v>0</v>
      </c>
      <c r="J30" s="16">
        <v>0</v>
      </c>
      <c r="K30" s="16">
        <v>1</v>
      </c>
      <c r="L30" s="16">
        <v>1</v>
      </c>
      <c r="M30" s="16">
        <v>2</v>
      </c>
      <c r="N30" s="16">
        <v>1</v>
      </c>
      <c r="O30" t="s">
        <v>2505</v>
      </c>
      <c r="P30" t="s">
        <v>2319</v>
      </c>
    </row>
    <row r="31" spans="1:17" x14ac:dyDescent="0.15">
      <c r="A31" t="s">
        <v>254</v>
      </c>
      <c r="B31" t="s">
        <v>2280</v>
      </c>
      <c r="C31">
        <v>3.79</v>
      </c>
      <c r="D31">
        <v>1.19</v>
      </c>
      <c r="E31" t="s">
        <v>329</v>
      </c>
      <c r="F31" s="16">
        <v>0</v>
      </c>
      <c r="G31" s="16">
        <v>4</v>
      </c>
      <c r="H31" s="16">
        <v>1</v>
      </c>
      <c r="I31" s="16">
        <v>0</v>
      </c>
      <c r="J31" s="16">
        <v>0</v>
      </c>
      <c r="K31" s="16">
        <v>0</v>
      </c>
      <c r="L31" s="16">
        <v>1</v>
      </c>
      <c r="M31" s="16">
        <v>2</v>
      </c>
      <c r="N31" s="16">
        <v>2</v>
      </c>
      <c r="O31" t="s">
        <v>362</v>
      </c>
      <c r="P31" t="s">
        <v>451</v>
      </c>
      <c r="Q31" t="s">
        <v>2652</v>
      </c>
    </row>
    <row r="32" spans="1:17" x14ac:dyDescent="0.15">
      <c r="A32" t="s">
        <v>253</v>
      </c>
      <c r="B32" t="s">
        <v>248</v>
      </c>
      <c r="C32">
        <v>3.73</v>
      </c>
      <c r="D32">
        <v>2.23</v>
      </c>
      <c r="E32" t="s">
        <v>330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</v>
      </c>
      <c r="L32" s="16">
        <v>1</v>
      </c>
      <c r="M32" s="16">
        <v>2</v>
      </c>
      <c r="N32" s="16">
        <v>2</v>
      </c>
      <c r="O32" t="s">
        <v>2162</v>
      </c>
      <c r="P32" t="s">
        <v>2319</v>
      </c>
    </row>
    <row r="34" spans="1:1" x14ac:dyDescent="0.15">
      <c r="A34" s="8" t="s">
        <v>33</v>
      </c>
    </row>
  </sheetData>
  <phoneticPr fontId="1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C55" sqref="C55"/>
    </sheetView>
  </sheetViews>
  <sheetFormatPr baseColWidth="10" defaultRowHeight="13" x14ac:dyDescent="0.15"/>
  <cols>
    <col min="1" max="1" width="14.5" bestFit="1" customWidth="1"/>
    <col min="2" max="2" width="13.83203125" bestFit="1" customWidth="1"/>
    <col min="5" max="5" width="12.33203125" bestFit="1" customWidth="1"/>
    <col min="6" max="6" width="11.83203125" bestFit="1" customWidth="1"/>
    <col min="10" max="10" width="13.5" bestFit="1" customWidth="1"/>
    <col min="12" max="12" width="11.83203125" bestFit="1" customWidth="1"/>
    <col min="13" max="13" width="13.33203125" bestFit="1" customWidth="1"/>
    <col min="14" max="14" width="15.5" bestFit="1" customWidth="1"/>
    <col min="17" max="17" width="56.1640625" customWidth="1"/>
  </cols>
  <sheetData>
    <row r="1" spans="1:17" x14ac:dyDescent="0.15">
      <c r="A1" t="s">
        <v>1280</v>
      </c>
      <c r="B1" t="s">
        <v>1290</v>
      </c>
      <c r="C1" t="s">
        <v>1281</v>
      </c>
      <c r="D1" t="s">
        <v>1282</v>
      </c>
      <c r="E1" t="s">
        <v>1283</v>
      </c>
      <c r="F1" t="s">
        <v>1388</v>
      </c>
      <c r="G1" t="s">
        <v>1226</v>
      </c>
      <c r="H1" t="s">
        <v>1285</v>
      </c>
      <c r="I1" t="s">
        <v>1227</v>
      </c>
      <c r="J1" t="s">
        <v>1286</v>
      </c>
      <c r="K1" t="s">
        <v>1287</v>
      </c>
      <c r="L1" t="s">
        <v>1288</v>
      </c>
      <c r="M1" t="s">
        <v>1289</v>
      </c>
      <c r="N1" t="s">
        <v>1195</v>
      </c>
      <c r="O1" t="s">
        <v>1224</v>
      </c>
      <c r="P1" t="s">
        <v>1228</v>
      </c>
      <c r="Q1" t="s">
        <v>1225</v>
      </c>
    </row>
    <row r="3" spans="1:17" x14ac:dyDescent="0.15">
      <c r="A3" t="s">
        <v>353</v>
      </c>
      <c r="B3" t="s">
        <v>354</v>
      </c>
      <c r="C3">
        <v>3.99</v>
      </c>
      <c r="D3">
        <v>1.32</v>
      </c>
      <c r="E3" t="s">
        <v>355</v>
      </c>
      <c r="F3" s="16">
        <v>0</v>
      </c>
      <c r="G3" s="16">
        <v>2</v>
      </c>
      <c r="H3" s="16">
        <v>2</v>
      </c>
      <c r="I3" s="16">
        <v>0</v>
      </c>
      <c r="J3" s="16">
        <v>0</v>
      </c>
      <c r="K3" s="16">
        <v>1</v>
      </c>
      <c r="L3" s="16">
        <v>1</v>
      </c>
      <c r="M3" s="16">
        <v>2</v>
      </c>
      <c r="N3" s="16">
        <v>2</v>
      </c>
      <c r="O3" t="s">
        <v>356</v>
      </c>
      <c r="P3" t="s">
        <v>357</v>
      </c>
      <c r="Q3" t="s">
        <v>2547</v>
      </c>
    </row>
    <row r="4" spans="1:17" x14ac:dyDescent="0.15">
      <c r="A4" t="s">
        <v>358</v>
      </c>
      <c r="B4" t="s">
        <v>359</v>
      </c>
      <c r="C4">
        <v>3.18</v>
      </c>
      <c r="D4">
        <v>2.08</v>
      </c>
      <c r="E4" t="s">
        <v>342</v>
      </c>
      <c r="F4" s="16">
        <v>0</v>
      </c>
      <c r="G4" s="16">
        <v>3</v>
      </c>
      <c r="H4" s="16">
        <v>1</v>
      </c>
      <c r="I4" s="16">
        <v>0</v>
      </c>
      <c r="J4" s="16">
        <v>0</v>
      </c>
      <c r="K4" s="16">
        <v>1</v>
      </c>
      <c r="L4" s="16">
        <v>1</v>
      </c>
      <c r="M4" s="16">
        <v>2</v>
      </c>
      <c r="N4" s="16">
        <v>2</v>
      </c>
      <c r="O4" t="s">
        <v>2162</v>
      </c>
      <c r="P4" t="s">
        <v>2319</v>
      </c>
    </row>
    <row r="5" spans="1:17" x14ac:dyDescent="0.15">
      <c r="A5" t="s">
        <v>339</v>
      </c>
      <c r="B5" t="s">
        <v>359</v>
      </c>
      <c r="C5">
        <v>3.24</v>
      </c>
      <c r="D5">
        <v>2.38</v>
      </c>
      <c r="E5" t="s">
        <v>278</v>
      </c>
      <c r="F5" s="16">
        <v>0</v>
      </c>
      <c r="G5" s="16">
        <v>4</v>
      </c>
      <c r="H5" s="16">
        <v>1</v>
      </c>
      <c r="I5" s="16">
        <v>0</v>
      </c>
      <c r="J5" s="16">
        <v>0</v>
      </c>
      <c r="K5" s="16">
        <v>0</v>
      </c>
      <c r="L5" s="16">
        <v>1</v>
      </c>
      <c r="M5" s="16">
        <v>1</v>
      </c>
      <c r="N5" s="16">
        <v>2</v>
      </c>
      <c r="O5" t="s">
        <v>340</v>
      </c>
      <c r="P5" t="s">
        <v>2319</v>
      </c>
      <c r="Q5" t="s">
        <v>2548</v>
      </c>
    </row>
    <row r="6" spans="1:17" x14ac:dyDescent="0.15">
      <c r="A6" t="s">
        <v>341</v>
      </c>
      <c r="B6" t="s">
        <v>359</v>
      </c>
      <c r="C6">
        <v>5.03</v>
      </c>
      <c r="D6">
        <v>1.87</v>
      </c>
      <c r="E6" t="s">
        <v>279</v>
      </c>
      <c r="F6" s="16">
        <v>0</v>
      </c>
      <c r="G6" s="16">
        <v>4</v>
      </c>
      <c r="H6" s="16">
        <v>2</v>
      </c>
      <c r="I6" s="16">
        <v>0</v>
      </c>
      <c r="J6" s="16">
        <v>0</v>
      </c>
      <c r="K6" s="16">
        <v>1</v>
      </c>
      <c r="L6" s="16">
        <v>1</v>
      </c>
      <c r="M6" s="16">
        <v>2</v>
      </c>
      <c r="N6" s="16">
        <v>2</v>
      </c>
      <c r="O6" t="s">
        <v>2162</v>
      </c>
      <c r="P6" t="s">
        <v>2319</v>
      </c>
    </row>
    <row r="7" spans="1:17" x14ac:dyDescent="0.15">
      <c r="A7" t="s">
        <v>280</v>
      </c>
      <c r="B7" t="s">
        <v>359</v>
      </c>
      <c r="C7">
        <v>6.73</v>
      </c>
      <c r="D7">
        <v>2.21</v>
      </c>
      <c r="E7" t="s">
        <v>281</v>
      </c>
      <c r="F7" s="16">
        <v>0</v>
      </c>
      <c r="G7" s="16">
        <v>2</v>
      </c>
      <c r="H7" s="16">
        <v>1</v>
      </c>
      <c r="I7" s="16">
        <v>0</v>
      </c>
      <c r="J7" s="16">
        <v>0</v>
      </c>
      <c r="K7" s="16">
        <v>0</v>
      </c>
      <c r="L7" s="16">
        <v>1</v>
      </c>
      <c r="M7" s="16">
        <v>2</v>
      </c>
      <c r="N7" s="16">
        <v>1</v>
      </c>
      <c r="O7" t="s">
        <v>282</v>
      </c>
      <c r="P7" t="s">
        <v>2319</v>
      </c>
      <c r="Q7" t="s">
        <v>191</v>
      </c>
    </row>
    <row r="8" spans="1:17" x14ac:dyDescent="0.15">
      <c r="A8" t="s">
        <v>283</v>
      </c>
      <c r="B8" t="s">
        <v>284</v>
      </c>
      <c r="C8">
        <v>2.4</v>
      </c>
      <c r="D8">
        <v>1.1299999999999999</v>
      </c>
      <c r="E8" t="s">
        <v>285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</v>
      </c>
      <c r="L8" s="16">
        <v>1</v>
      </c>
      <c r="M8" s="16">
        <v>2</v>
      </c>
      <c r="N8" s="16">
        <v>1</v>
      </c>
      <c r="O8" t="s">
        <v>2162</v>
      </c>
      <c r="P8" t="s">
        <v>2319</v>
      </c>
      <c r="Q8" t="s">
        <v>2616</v>
      </c>
    </row>
    <row r="9" spans="1:17" x14ac:dyDescent="0.15">
      <c r="A9" t="s">
        <v>2396</v>
      </c>
      <c r="B9" t="s">
        <v>2440</v>
      </c>
      <c r="C9">
        <v>2.83</v>
      </c>
      <c r="D9">
        <v>1.52</v>
      </c>
      <c r="E9" t="s">
        <v>331</v>
      </c>
      <c r="F9" s="16">
        <v>3</v>
      </c>
      <c r="G9" s="16">
        <v>2</v>
      </c>
      <c r="H9" s="16">
        <v>1</v>
      </c>
      <c r="I9" s="16">
        <v>0</v>
      </c>
      <c r="J9" s="16">
        <v>0</v>
      </c>
      <c r="K9" s="16">
        <v>0</v>
      </c>
      <c r="L9" s="16">
        <v>0</v>
      </c>
      <c r="M9" s="16">
        <v>2</v>
      </c>
      <c r="N9" s="16">
        <v>2</v>
      </c>
      <c r="O9" t="s">
        <v>2394</v>
      </c>
      <c r="P9" t="s">
        <v>2395</v>
      </c>
    </row>
    <row r="10" spans="1:17" x14ac:dyDescent="0.15">
      <c r="A10" t="s">
        <v>2397</v>
      </c>
      <c r="B10" t="s">
        <v>2468</v>
      </c>
      <c r="C10">
        <v>2.75</v>
      </c>
      <c r="D10">
        <v>0.65</v>
      </c>
      <c r="E10" t="s">
        <v>2358</v>
      </c>
      <c r="F10" s="16">
        <v>0</v>
      </c>
      <c r="G10" s="16">
        <v>0</v>
      </c>
      <c r="H10" s="16">
        <v>0</v>
      </c>
      <c r="I10" s="16">
        <v>1</v>
      </c>
      <c r="J10" s="16">
        <v>2</v>
      </c>
      <c r="K10" s="16">
        <v>1</v>
      </c>
      <c r="L10" s="16">
        <v>1</v>
      </c>
      <c r="M10" s="16">
        <v>2</v>
      </c>
      <c r="N10" s="16">
        <v>3</v>
      </c>
      <c r="O10" t="s">
        <v>2449</v>
      </c>
      <c r="P10" t="s">
        <v>2450</v>
      </c>
    </row>
    <row r="11" spans="1:17" x14ac:dyDescent="0.15">
      <c r="A11" t="s">
        <v>2451</v>
      </c>
      <c r="B11" t="s">
        <v>2452</v>
      </c>
      <c r="C11">
        <v>1.59</v>
      </c>
      <c r="D11">
        <v>1.2</v>
      </c>
      <c r="E11" t="s">
        <v>2488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1</v>
      </c>
      <c r="M11" s="16">
        <v>2</v>
      </c>
      <c r="N11" s="16">
        <v>2</v>
      </c>
      <c r="O11" t="s">
        <v>2394</v>
      </c>
      <c r="P11" t="s">
        <v>2453</v>
      </c>
      <c r="Q11" t="s">
        <v>352</v>
      </c>
    </row>
    <row r="12" spans="1:17" x14ac:dyDescent="0.15">
      <c r="A12" t="s">
        <v>2347</v>
      </c>
      <c r="B12" t="s">
        <v>2348</v>
      </c>
      <c r="C12">
        <v>1.59</v>
      </c>
      <c r="D12">
        <v>0.56000000000000005</v>
      </c>
      <c r="E12" t="s">
        <v>239</v>
      </c>
      <c r="F12" s="16">
        <v>0</v>
      </c>
      <c r="G12" s="16">
        <v>1</v>
      </c>
      <c r="H12" s="16">
        <v>2</v>
      </c>
      <c r="I12" s="16">
        <v>0</v>
      </c>
      <c r="J12" s="16">
        <v>0</v>
      </c>
      <c r="K12" s="16">
        <v>0</v>
      </c>
      <c r="L12" s="16">
        <v>1</v>
      </c>
      <c r="M12" s="16">
        <v>2</v>
      </c>
      <c r="N12" s="16">
        <v>1</v>
      </c>
      <c r="O12" t="s">
        <v>2349</v>
      </c>
      <c r="P12" t="s">
        <v>2350</v>
      </c>
    </row>
    <row r="13" spans="1:17" x14ac:dyDescent="0.15">
      <c r="A13" t="s">
        <v>2351</v>
      </c>
      <c r="B13" t="s">
        <v>2348</v>
      </c>
      <c r="C13">
        <v>2.04</v>
      </c>
      <c r="D13">
        <v>1.39</v>
      </c>
      <c r="E13" t="s">
        <v>240</v>
      </c>
      <c r="F13" s="16">
        <v>0</v>
      </c>
      <c r="G13" s="16">
        <v>2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t="s">
        <v>2399</v>
      </c>
      <c r="P13" t="s">
        <v>2400</v>
      </c>
    </row>
    <row r="14" spans="1:17" x14ac:dyDescent="0.15">
      <c r="A14" t="s">
        <v>2454</v>
      </c>
      <c r="B14" t="s">
        <v>2348</v>
      </c>
      <c r="C14">
        <v>4.0999999999999996</v>
      </c>
      <c r="D14">
        <v>1.07</v>
      </c>
      <c r="E14" t="s">
        <v>241</v>
      </c>
      <c r="F14" s="16">
        <v>4</v>
      </c>
      <c r="G14" s="16">
        <v>1</v>
      </c>
      <c r="H14" s="16">
        <v>1</v>
      </c>
      <c r="I14" s="16">
        <v>0</v>
      </c>
      <c r="J14" s="16">
        <v>0</v>
      </c>
      <c r="K14" s="16">
        <v>1</v>
      </c>
      <c r="L14" s="16">
        <v>1</v>
      </c>
      <c r="M14" s="16">
        <v>4</v>
      </c>
      <c r="N14" s="16">
        <v>3</v>
      </c>
      <c r="O14" t="s">
        <v>2401</v>
      </c>
      <c r="P14" t="s">
        <v>2402</v>
      </c>
      <c r="Q14" t="s">
        <v>261</v>
      </c>
    </row>
    <row r="15" spans="1:17" x14ac:dyDescent="0.15">
      <c r="A15" t="s">
        <v>2455</v>
      </c>
      <c r="B15" t="s">
        <v>2403</v>
      </c>
      <c r="C15">
        <v>2.27</v>
      </c>
      <c r="D15">
        <v>0.84</v>
      </c>
      <c r="E15" t="s">
        <v>242</v>
      </c>
      <c r="F15" s="16">
        <v>0</v>
      </c>
      <c r="G15" s="16">
        <v>1</v>
      </c>
      <c r="H15" s="16">
        <v>2</v>
      </c>
      <c r="I15" s="16">
        <v>0</v>
      </c>
      <c r="J15" s="16">
        <v>0</v>
      </c>
      <c r="K15" s="16">
        <v>0</v>
      </c>
      <c r="L15" s="16">
        <v>0</v>
      </c>
      <c r="M15" s="16">
        <v>2</v>
      </c>
      <c r="N15" s="16">
        <v>2</v>
      </c>
      <c r="O15" t="s">
        <v>2399</v>
      </c>
      <c r="P15" t="s">
        <v>2400</v>
      </c>
      <c r="Q15" t="s">
        <v>2617</v>
      </c>
    </row>
    <row r="16" spans="1:17" x14ac:dyDescent="0.15">
      <c r="A16" t="s">
        <v>2495</v>
      </c>
      <c r="B16" t="s">
        <v>2404</v>
      </c>
      <c r="C16">
        <v>3.94</v>
      </c>
      <c r="D16">
        <v>1.21</v>
      </c>
      <c r="E16" t="s">
        <v>243</v>
      </c>
      <c r="F16" s="16">
        <v>3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2</v>
      </c>
      <c r="M16" s="16">
        <v>2</v>
      </c>
      <c r="N16" s="16">
        <v>2</v>
      </c>
      <c r="O16" t="s">
        <v>2405</v>
      </c>
      <c r="P16" t="s">
        <v>2402</v>
      </c>
      <c r="Q16" t="s">
        <v>2549</v>
      </c>
    </row>
    <row r="17" spans="1:17" x14ac:dyDescent="0.15">
      <c r="A17" t="s">
        <v>2456</v>
      </c>
      <c r="B17" t="s">
        <v>2440</v>
      </c>
      <c r="C17">
        <v>6.7</v>
      </c>
      <c r="D17">
        <v>3.18</v>
      </c>
      <c r="E17" t="s">
        <v>2552</v>
      </c>
      <c r="F17" s="16">
        <v>0</v>
      </c>
      <c r="G17" s="16">
        <v>3</v>
      </c>
      <c r="H17" s="16">
        <v>1</v>
      </c>
      <c r="I17" s="16">
        <v>0</v>
      </c>
      <c r="J17" s="16">
        <v>0</v>
      </c>
      <c r="K17" s="16">
        <v>1</v>
      </c>
      <c r="L17" s="16">
        <v>1</v>
      </c>
      <c r="M17" s="16">
        <v>3</v>
      </c>
      <c r="N17" s="16">
        <v>2</v>
      </c>
      <c r="O17" t="s">
        <v>2394</v>
      </c>
      <c r="P17" t="s">
        <v>2469</v>
      </c>
      <c r="Q17" t="s">
        <v>269</v>
      </c>
    </row>
    <row r="18" spans="1:17" x14ac:dyDescent="0.15">
      <c r="A18" t="s">
        <v>2457</v>
      </c>
      <c r="B18" t="s">
        <v>2440</v>
      </c>
      <c r="C18">
        <v>3.25</v>
      </c>
      <c r="D18">
        <v>1.35</v>
      </c>
      <c r="E18" t="s">
        <v>2553</v>
      </c>
      <c r="F18" s="16">
        <v>0</v>
      </c>
      <c r="G18" s="16">
        <v>3</v>
      </c>
      <c r="H18" s="16">
        <v>1</v>
      </c>
      <c r="I18" s="16">
        <v>0</v>
      </c>
      <c r="J18" s="16">
        <v>0</v>
      </c>
      <c r="K18" s="16">
        <v>0</v>
      </c>
      <c r="L18" s="16">
        <v>1</v>
      </c>
      <c r="M18" s="16">
        <v>2</v>
      </c>
      <c r="N18" s="16">
        <v>2</v>
      </c>
      <c r="O18" t="s">
        <v>2394</v>
      </c>
      <c r="P18" t="s">
        <v>2469</v>
      </c>
    </row>
    <row r="19" spans="1:17" x14ac:dyDescent="0.15">
      <c r="A19" t="s">
        <v>2461</v>
      </c>
      <c r="B19" t="s">
        <v>2468</v>
      </c>
      <c r="C19">
        <v>3.34</v>
      </c>
      <c r="D19">
        <v>0.74</v>
      </c>
      <c r="E19" t="s">
        <v>2406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1</v>
      </c>
      <c r="L19" s="16">
        <v>1</v>
      </c>
      <c r="M19" s="16">
        <v>2</v>
      </c>
      <c r="N19" s="16">
        <v>2</v>
      </c>
      <c r="O19" t="s">
        <v>2394</v>
      </c>
      <c r="P19" t="s">
        <v>2469</v>
      </c>
    </row>
    <row r="20" spans="1:17" x14ac:dyDescent="0.15">
      <c r="A20" t="s">
        <v>2407</v>
      </c>
      <c r="B20" t="s">
        <v>2440</v>
      </c>
      <c r="C20">
        <v>3.41</v>
      </c>
      <c r="D20">
        <v>1.1299999999999999</v>
      </c>
      <c r="E20" t="s">
        <v>2408</v>
      </c>
      <c r="F20" s="16">
        <v>0</v>
      </c>
      <c r="G20" s="16">
        <v>4</v>
      </c>
      <c r="H20" s="16">
        <v>1</v>
      </c>
      <c r="I20" s="16">
        <v>0</v>
      </c>
      <c r="J20" s="16">
        <v>0</v>
      </c>
      <c r="K20" s="16">
        <v>1</v>
      </c>
      <c r="L20" s="16">
        <v>1</v>
      </c>
      <c r="M20" s="16">
        <v>2</v>
      </c>
      <c r="N20" s="16">
        <v>2</v>
      </c>
      <c r="O20" t="s">
        <v>2394</v>
      </c>
      <c r="P20" t="s">
        <v>2469</v>
      </c>
    </row>
    <row r="21" spans="1:17" x14ac:dyDescent="0.15">
      <c r="A21" t="s">
        <v>2444</v>
      </c>
      <c r="B21" t="s">
        <v>2440</v>
      </c>
      <c r="C21">
        <v>1.34</v>
      </c>
      <c r="D21">
        <v>1.02</v>
      </c>
      <c r="E21" t="s">
        <v>2531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1</v>
      </c>
      <c r="M21" s="16">
        <v>2</v>
      </c>
      <c r="N21" s="16">
        <v>2</v>
      </c>
      <c r="O21" t="s">
        <v>2394</v>
      </c>
      <c r="P21" t="s">
        <v>2446</v>
      </c>
      <c r="Q21" t="s">
        <v>2653</v>
      </c>
    </row>
    <row r="22" spans="1:17" x14ac:dyDescent="0.15">
      <c r="A22" t="s">
        <v>2445</v>
      </c>
      <c r="B22" t="s">
        <v>2440</v>
      </c>
      <c r="C22">
        <v>1.7</v>
      </c>
      <c r="D22">
        <v>1.17</v>
      </c>
      <c r="E22" t="s">
        <v>2532</v>
      </c>
      <c r="F22" s="16">
        <v>2</v>
      </c>
      <c r="G22" s="16">
        <v>0</v>
      </c>
      <c r="H22" s="16">
        <v>0</v>
      </c>
      <c r="I22" s="16">
        <v>0</v>
      </c>
      <c r="J22" s="16">
        <v>0</v>
      </c>
      <c r="K22" s="16">
        <v>1</v>
      </c>
      <c r="L22" s="16">
        <v>1</v>
      </c>
      <c r="M22" s="16">
        <v>2</v>
      </c>
      <c r="N22" s="16">
        <v>0</v>
      </c>
      <c r="O22" t="s">
        <v>2394</v>
      </c>
      <c r="P22" t="s">
        <v>2448</v>
      </c>
      <c r="Q22" t="s">
        <v>2585</v>
      </c>
    </row>
    <row r="23" spans="1:17" x14ac:dyDescent="0.15">
      <c r="A23" t="s">
        <v>2447</v>
      </c>
      <c r="B23" t="s">
        <v>2440</v>
      </c>
      <c r="C23">
        <v>2.1</v>
      </c>
      <c r="D23">
        <v>1.68</v>
      </c>
      <c r="E23" t="s">
        <v>2533</v>
      </c>
      <c r="F23" s="16">
        <v>0</v>
      </c>
      <c r="G23" s="16">
        <v>1</v>
      </c>
      <c r="H23" s="16">
        <v>1</v>
      </c>
      <c r="I23" s="16">
        <v>0</v>
      </c>
      <c r="J23" s="16">
        <v>0</v>
      </c>
      <c r="K23" s="16">
        <v>1</v>
      </c>
      <c r="L23" s="16">
        <v>1</v>
      </c>
      <c r="M23" s="16">
        <v>2</v>
      </c>
      <c r="N23" s="16">
        <v>2</v>
      </c>
      <c r="O23" t="s">
        <v>2394</v>
      </c>
      <c r="P23" t="s">
        <v>2469</v>
      </c>
      <c r="Q23" t="s">
        <v>232</v>
      </c>
    </row>
    <row r="24" spans="1:17" x14ac:dyDescent="0.15">
      <c r="A24" t="s">
        <v>121</v>
      </c>
      <c r="B24" t="s">
        <v>122</v>
      </c>
      <c r="C24">
        <v>1.77</v>
      </c>
      <c r="D24">
        <v>0.44</v>
      </c>
      <c r="E24" t="s">
        <v>123</v>
      </c>
      <c r="F24" s="16">
        <v>0</v>
      </c>
      <c r="G24" s="16">
        <v>0</v>
      </c>
      <c r="H24" s="16">
        <v>0</v>
      </c>
      <c r="I24" s="16">
        <v>2</v>
      </c>
      <c r="J24" s="16">
        <v>2</v>
      </c>
      <c r="K24" s="16">
        <v>1</v>
      </c>
      <c r="L24" s="16">
        <v>1</v>
      </c>
      <c r="M24" s="16">
        <v>2</v>
      </c>
      <c r="N24" s="16">
        <v>2</v>
      </c>
      <c r="O24" t="s">
        <v>124</v>
      </c>
      <c r="P24" t="s">
        <v>125</v>
      </c>
    </row>
    <row r="25" spans="1:17" x14ac:dyDescent="0.15">
      <c r="A25" t="s">
        <v>126</v>
      </c>
      <c r="B25" t="s">
        <v>127</v>
      </c>
      <c r="C25">
        <v>6.02</v>
      </c>
      <c r="D25">
        <v>1.41</v>
      </c>
      <c r="E25" t="s">
        <v>130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</v>
      </c>
      <c r="L25" s="16">
        <v>2</v>
      </c>
      <c r="M25" s="16">
        <v>2</v>
      </c>
      <c r="N25" s="16">
        <v>3</v>
      </c>
      <c r="O25" t="s">
        <v>128</v>
      </c>
      <c r="P25" t="s">
        <v>129</v>
      </c>
      <c r="Q25" t="s">
        <v>350</v>
      </c>
    </row>
    <row r="26" spans="1:17" x14ac:dyDescent="0.15">
      <c r="A26" t="s">
        <v>131</v>
      </c>
      <c r="B26" t="s">
        <v>132</v>
      </c>
      <c r="C26">
        <v>2.12</v>
      </c>
      <c r="D26">
        <v>1.18</v>
      </c>
      <c r="E26" t="s">
        <v>133</v>
      </c>
      <c r="F26" s="16">
        <v>0</v>
      </c>
      <c r="G26" s="16">
        <v>3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2</v>
      </c>
      <c r="N26" s="16">
        <v>2</v>
      </c>
      <c r="O26" t="s">
        <v>128</v>
      </c>
      <c r="P26" t="s">
        <v>125</v>
      </c>
      <c r="Q26" t="s">
        <v>2642</v>
      </c>
    </row>
    <row r="27" spans="1:17" x14ac:dyDescent="0.15">
      <c r="A27" t="s">
        <v>286</v>
      </c>
      <c r="B27" t="s">
        <v>287</v>
      </c>
      <c r="C27">
        <v>2.71</v>
      </c>
      <c r="D27">
        <v>1.81</v>
      </c>
      <c r="E27" t="s">
        <v>292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</v>
      </c>
      <c r="L27" s="16">
        <v>1</v>
      </c>
      <c r="M27" s="16">
        <v>2</v>
      </c>
      <c r="N27" s="16">
        <v>0</v>
      </c>
      <c r="O27" t="s">
        <v>124</v>
      </c>
      <c r="P27" t="s">
        <v>288</v>
      </c>
      <c r="Q27" t="s">
        <v>2517</v>
      </c>
    </row>
    <row r="28" spans="1:17" x14ac:dyDescent="0.15">
      <c r="A28" t="s">
        <v>317</v>
      </c>
      <c r="B28" t="s">
        <v>319</v>
      </c>
      <c r="C28">
        <v>1.75</v>
      </c>
      <c r="D28">
        <v>0.84</v>
      </c>
      <c r="E28" t="s">
        <v>293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2</v>
      </c>
      <c r="N28" s="16">
        <v>0</v>
      </c>
      <c r="O28" t="s">
        <v>124</v>
      </c>
      <c r="P28" t="s">
        <v>318</v>
      </c>
    </row>
    <row r="29" spans="1:17" x14ac:dyDescent="0.15">
      <c r="A29" t="s">
        <v>291</v>
      </c>
      <c r="B29" t="s">
        <v>287</v>
      </c>
      <c r="C29">
        <v>4.87</v>
      </c>
      <c r="D29">
        <v>1.56</v>
      </c>
      <c r="E29" t="s">
        <v>294</v>
      </c>
      <c r="F29" s="16">
        <v>0</v>
      </c>
      <c r="G29" s="16">
        <v>2</v>
      </c>
      <c r="H29" s="16">
        <v>1</v>
      </c>
      <c r="I29" s="16">
        <v>0</v>
      </c>
      <c r="J29" s="16">
        <v>0</v>
      </c>
      <c r="K29" s="16">
        <v>1</v>
      </c>
      <c r="L29" s="16">
        <v>1</v>
      </c>
      <c r="M29" s="16">
        <v>4</v>
      </c>
      <c r="N29" s="16">
        <v>2</v>
      </c>
      <c r="O29" t="s">
        <v>124</v>
      </c>
      <c r="P29" t="s">
        <v>125</v>
      </c>
      <c r="Q29" t="s">
        <v>2499</v>
      </c>
    </row>
    <row r="30" spans="1:17" x14ac:dyDescent="0.15">
      <c r="A30" t="s">
        <v>2534</v>
      </c>
      <c r="B30" t="s">
        <v>2535</v>
      </c>
      <c r="C30">
        <v>1.73</v>
      </c>
      <c r="D30">
        <v>0.43</v>
      </c>
      <c r="E30" t="s">
        <v>2430</v>
      </c>
      <c r="F30" s="16">
        <v>2</v>
      </c>
      <c r="G30" s="16">
        <v>0</v>
      </c>
      <c r="H30" s="16">
        <v>0</v>
      </c>
      <c r="I30" s="16">
        <v>2</v>
      </c>
      <c r="J30" s="16">
        <v>2</v>
      </c>
      <c r="K30" s="16">
        <v>1</v>
      </c>
      <c r="L30" s="16">
        <v>1</v>
      </c>
      <c r="M30" s="16">
        <v>2</v>
      </c>
      <c r="N30" s="16">
        <v>2</v>
      </c>
      <c r="O30" t="s">
        <v>2394</v>
      </c>
      <c r="P30" t="s">
        <v>2536</v>
      </c>
    </row>
    <row r="31" spans="1:17" x14ac:dyDescent="0.15">
      <c r="A31" t="s">
        <v>2537</v>
      </c>
      <c r="B31" t="s">
        <v>2538</v>
      </c>
      <c r="C31">
        <v>2.88</v>
      </c>
      <c r="D31">
        <v>1.51</v>
      </c>
      <c r="E31" t="s">
        <v>2431</v>
      </c>
      <c r="F31" s="16">
        <v>0</v>
      </c>
      <c r="G31" s="16">
        <v>3</v>
      </c>
      <c r="H31" s="16">
        <v>1</v>
      </c>
      <c r="I31" s="16">
        <v>0</v>
      </c>
      <c r="J31" s="16">
        <v>0</v>
      </c>
      <c r="K31" s="16">
        <v>1</v>
      </c>
      <c r="L31" s="16">
        <v>1</v>
      </c>
      <c r="M31" s="16">
        <v>2</v>
      </c>
      <c r="N31" s="16">
        <v>1</v>
      </c>
      <c r="O31" t="s">
        <v>2539</v>
      </c>
      <c r="P31" t="s">
        <v>2469</v>
      </c>
    </row>
    <row r="32" spans="1:17" x14ac:dyDescent="0.15">
      <c r="A32" t="s">
        <v>2465</v>
      </c>
      <c r="B32" t="s">
        <v>2538</v>
      </c>
      <c r="C32">
        <v>1.65</v>
      </c>
      <c r="D32">
        <v>1.3</v>
      </c>
      <c r="E32" t="s">
        <v>2432</v>
      </c>
      <c r="F32" s="16">
        <v>0</v>
      </c>
      <c r="G32" s="16">
        <v>3</v>
      </c>
      <c r="H32" s="16">
        <v>1</v>
      </c>
      <c r="I32" s="16">
        <v>0</v>
      </c>
      <c r="J32" s="16">
        <v>0</v>
      </c>
      <c r="K32" s="16">
        <v>1</v>
      </c>
      <c r="L32" s="16">
        <v>1</v>
      </c>
      <c r="M32" s="16">
        <v>2</v>
      </c>
      <c r="N32" s="16">
        <v>0</v>
      </c>
      <c r="O32" t="s">
        <v>2466</v>
      </c>
      <c r="P32" t="s">
        <v>2467</v>
      </c>
      <c r="Q32" t="s">
        <v>2500</v>
      </c>
    </row>
    <row r="34" spans="1:1" x14ac:dyDescent="0.15">
      <c r="A34" s="8" t="s">
        <v>31</v>
      </c>
    </row>
  </sheetData>
  <phoneticPr fontId="1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A26" sqref="A26"/>
    </sheetView>
  </sheetViews>
  <sheetFormatPr baseColWidth="10" defaultRowHeight="13" x14ac:dyDescent="0.15"/>
  <cols>
    <col min="1" max="1" width="14.5" bestFit="1" customWidth="1"/>
    <col min="2" max="2" width="16.83203125" customWidth="1"/>
    <col min="5" max="5" width="12.6640625" bestFit="1" customWidth="1"/>
    <col min="6" max="6" width="11.83203125" bestFit="1" customWidth="1"/>
    <col min="10" max="10" width="15.5" bestFit="1" customWidth="1"/>
    <col min="12" max="12" width="11.83203125" bestFit="1" customWidth="1"/>
    <col min="13" max="13" width="13.33203125" bestFit="1" customWidth="1"/>
    <col min="14" max="14" width="15.5" bestFit="1" customWidth="1"/>
    <col min="15" max="15" width="13.1640625" customWidth="1"/>
    <col min="16" max="16" width="12.5" customWidth="1"/>
    <col min="17" max="17" width="58.33203125" customWidth="1"/>
  </cols>
  <sheetData>
    <row r="1" spans="1:17" x14ac:dyDescent="0.15">
      <c r="A1" t="s">
        <v>1280</v>
      </c>
      <c r="B1" t="s">
        <v>1290</v>
      </c>
      <c r="C1" t="s">
        <v>1281</v>
      </c>
      <c r="D1" t="s">
        <v>1282</v>
      </c>
      <c r="E1" t="s">
        <v>1283</v>
      </c>
      <c r="F1" t="s">
        <v>1388</v>
      </c>
      <c r="G1" t="s">
        <v>1226</v>
      </c>
      <c r="H1" t="s">
        <v>1285</v>
      </c>
      <c r="I1" t="s">
        <v>1227</v>
      </c>
      <c r="J1" t="s">
        <v>1286</v>
      </c>
      <c r="K1" t="s">
        <v>1287</v>
      </c>
      <c r="L1" t="s">
        <v>1288</v>
      </c>
      <c r="M1" t="s">
        <v>1289</v>
      </c>
      <c r="N1" t="s">
        <v>1195</v>
      </c>
      <c r="O1" t="s">
        <v>1224</v>
      </c>
      <c r="P1" t="s">
        <v>1228</v>
      </c>
      <c r="Q1" t="s">
        <v>1225</v>
      </c>
    </row>
    <row r="3" spans="1:17" x14ac:dyDescent="0.15">
      <c r="A3" t="s">
        <v>2475</v>
      </c>
      <c r="B3" t="s">
        <v>2433</v>
      </c>
      <c r="C3">
        <v>2.85</v>
      </c>
      <c r="D3">
        <v>1.1299999999999999</v>
      </c>
      <c r="E3" t="s">
        <v>2476</v>
      </c>
      <c r="F3" s="16">
        <v>2</v>
      </c>
      <c r="G3" s="16">
        <v>2</v>
      </c>
      <c r="H3" s="16">
        <v>1</v>
      </c>
      <c r="I3" s="16">
        <v>0</v>
      </c>
      <c r="J3" s="16">
        <v>0</v>
      </c>
      <c r="K3" s="16">
        <v>1</v>
      </c>
      <c r="L3" s="16">
        <v>1</v>
      </c>
      <c r="M3" s="16">
        <v>4</v>
      </c>
      <c r="N3" s="16">
        <v>3</v>
      </c>
      <c r="O3" t="s">
        <v>2434</v>
      </c>
      <c r="P3" t="s">
        <v>2435</v>
      </c>
      <c r="Q3" t="s">
        <v>2643</v>
      </c>
    </row>
    <row r="4" spans="1:17" x14ac:dyDescent="0.15">
      <c r="A4" t="s">
        <v>2478</v>
      </c>
      <c r="B4" t="s">
        <v>2518</v>
      </c>
      <c r="C4">
        <v>7.66</v>
      </c>
      <c r="D4">
        <v>1.53</v>
      </c>
      <c r="E4" t="s">
        <v>2479</v>
      </c>
      <c r="F4" s="16">
        <v>3</v>
      </c>
      <c r="G4" s="16">
        <v>4</v>
      </c>
      <c r="H4" s="16">
        <v>2</v>
      </c>
      <c r="I4" s="16">
        <v>0</v>
      </c>
      <c r="J4" s="16">
        <v>0</v>
      </c>
      <c r="K4" s="16">
        <v>1</v>
      </c>
      <c r="L4" s="16">
        <v>1</v>
      </c>
      <c r="M4" s="16">
        <v>2</v>
      </c>
      <c r="N4" s="16">
        <v>2</v>
      </c>
      <c r="O4" t="s">
        <v>124</v>
      </c>
      <c r="P4" t="s">
        <v>1041</v>
      </c>
      <c r="Q4" t="s">
        <v>233</v>
      </c>
    </row>
    <row r="5" spans="1:17" x14ac:dyDescent="0.15">
      <c r="A5" t="s">
        <v>2462</v>
      </c>
      <c r="B5" t="s">
        <v>2594</v>
      </c>
      <c r="C5">
        <v>5.68</v>
      </c>
      <c r="D5">
        <v>3.79</v>
      </c>
      <c r="E5" t="s">
        <v>2463</v>
      </c>
      <c r="F5" s="16">
        <v>4</v>
      </c>
      <c r="G5" s="16">
        <v>4</v>
      </c>
      <c r="H5" s="16">
        <v>2</v>
      </c>
      <c r="I5" s="16">
        <v>0</v>
      </c>
      <c r="J5" s="16">
        <v>0</v>
      </c>
      <c r="K5" s="16">
        <v>0</v>
      </c>
      <c r="L5" s="16">
        <v>0</v>
      </c>
      <c r="M5" s="16">
        <v>2</v>
      </c>
      <c r="N5" s="16">
        <v>2</v>
      </c>
      <c r="O5" t="s">
        <v>124</v>
      </c>
      <c r="P5" t="s">
        <v>1055</v>
      </c>
      <c r="Q5" t="s">
        <v>296</v>
      </c>
    </row>
    <row r="6" spans="1:17" x14ac:dyDescent="0.15">
      <c r="A6" t="s">
        <v>2522</v>
      </c>
      <c r="B6" t="s">
        <v>2442</v>
      </c>
      <c r="C6">
        <v>6.84</v>
      </c>
      <c r="D6">
        <v>4.2699999999999996</v>
      </c>
      <c r="E6" t="s">
        <v>2477</v>
      </c>
      <c r="F6" s="16">
        <v>3</v>
      </c>
      <c r="G6" s="16">
        <v>4</v>
      </c>
      <c r="H6" s="16">
        <v>1</v>
      </c>
      <c r="I6" s="16">
        <v>0</v>
      </c>
      <c r="J6" s="16">
        <v>0</v>
      </c>
      <c r="K6" s="16">
        <v>1</v>
      </c>
      <c r="L6" s="16">
        <v>2</v>
      </c>
      <c r="M6" s="16">
        <v>2</v>
      </c>
      <c r="N6" s="16">
        <v>2</v>
      </c>
      <c r="O6" t="s">
        <v>124</v>
      </c>
      <c r="P6" t="s">
        <v>1041</v>
      </c>
      <c r="Q6" t="s">
        <v>295</v>
      </c>
    </row>
    <row r="7" spans="1:17" x14ac:dyDescent="0.15">
      <c r="A7" t="s">
        <v>2492</v>
      </c>
      <c r="B7" t="s">
        <v>132</v>
      </c>
      <c r="C7">
        <v>4.5199999999999996</v>
      </c>
      <c r="D7">
        <v>2.4</v>
      </c>
      <c r="E7" t="s">
        <v>2464</v>
      </c>
      <c r="F7" s="16">
        <v>0</v>
      </c>
      <c r="G7" s="16">
        <v>6</v>
      </c>
      <c r="H7" s="16">
        <v>1</v>
      </c>
      <c r="I7" s="16">
        <v>0</v>
      </c>
      <c r="J7" s="16">
        <v>0</v>
      </c>
      <c r="K7" s="16">
        <v>1</v>
      </c>
      <c r="L7" s="16">
        <v>1</v>
      </c>
      <c r="M7" s="16">
        <v>2</v>
      </c>
      <c r="N7" s="16">
        <v>3</v>
      </c>
      <c r="O7" t="s">
        <v>124</v>
      </c>
      <c r="P7" t="s">
        <v>125</v>
      </c>
      <c r="Q7" t="s">
        <v>2587</v>
      </c>
    </row>
    <row r="8" spans="1:17" x14ac:dyDescent="0.15">
      <c r="A8" t="s">
        <v>2357</v>
      </c>
      <c r="B8" t="s">
        <v>2372</v>
      </c>
      <c r="C8">
        <v>8.08</v>
      </c>
      <c r="D8">
        <v>4.37</v>
      </c>
      <c r="E8" t="s">
        <v>2459</v>
      </c>
      <c r="F8" s="16">
        <v>0</v>
      </c>
      <c r="G8" s="16">
        <v>2</v>
      </c>
      <c r="H8" s="16">
        <v>2</v>
      </c>
      <c r="I8" s="16">
        <v>0</v>
      </c>
      <c r="J8" s="16">
        <v>0</v>
      </c>
      <c r="K8" s="16">
        <v>0</v>
      </c>
      <c r="L8" s="16">
        <v>0</v>
      </c>
      <c r="M8" s="16">
        <v>2</v>
      </c>
      <c r="N8" s="16">
        <v>0</v>
      </c>
      <c r="O8" t="s">
        <v>124</v>
      </c>
      <c r="P8" t="s">
        <v>2373</v>
      </c>
      <c r="Q8" t="s">
        <v>234</v>
      </c>
    </row>
    <row r="9" spans="1:17" x14ac:dyDescent="0.15">
      <c r="A9" t="s">
        <v>2374</v>
      </c>
      <c r="B9" t="s">
        <v>132</v>
      </c>
      <c r="C9">
        <v>4.08</v>
      </c>
      <c r="D9">
        <v>1.89</v>
      </c>
      <c r="E9" t="s">
        <v>2460</v>
      </c>
      <c r="F9" s="16">
        <v>0</v>
      </c>
      <c r="G9" s="16">
        <v>2</v>
      </c>
      <c r="H9" s="16">
        <v>1</v>
      </c>
      <c r="I9" s="16">
        <v>0</v>
      </c>
      <c r="J9" s="16">
        <v>0</v>
      </c>
      <c r="K9" s="16">
        <v>1</v>
      </c>
      <c r="L9" s="16">
        <v>1</v>
      </c>
      <c r="M9" s="16">
        <v>2</v>
      </c>
      <c r="N9" s="16">
        <v>2</v>
      </c>
      <c r="O9" t="s">
        <v>124</v>
      </c>
      <c r="P9" t="s">
        <v>125</v>
      </c>
    </row>
    <row r="10" spans="1:17" x14ac:dyDescent="0.15">
      <c r="A10" t="s">
        <v>2581</v>
      </c>
      <c r="B10" t="s">
        <v>122</v>
      </c>
      <c r="C10">
        <v>3.16</v>
      </c>
      <c r="D10">
        <v>0.92</v>
      </c>
      <c r="E10" t="s">
        <v>2493</v>
      </c>
      <c r="F10" s="16">
        <v>0</v>
      </c>
      <c r="G10" s="16">
        <v>6</v>
      </c>
      <c r="H10" s="16">
        <v>2</v>
      </c>
      <c r="I10" s="16">
        <v>2</v>
      </c>
      <c r="J10" s="16">
        <v>2</v>
      </c>
      <c r="K10" s="16">
        <v>0</v>
      </c>
      <c r="L10" s="16">
        <v>1</v>
      </c>
      <c r="M10" s="16">
        <v>2</v>
      </c>
      <c r="N10" s="16">
        <v>3</v>
      </c>
      <c r="O10" t="s">
        <v>124</v>
      </c>
      <c r="P10" t="s">
        <v>125</v>
      </c>
    </row>
    <row r="11" spans="1:17" x14ac:dyDescent="0.15">
      <c r="A11" t="s">
        <v>2494</v>
      </c>
      <c r="B11" t="s">
        <v>2582</v>
      </c>
      <c r="C11">
        <v>7.53</v>
      </c>
      <c r="D11">
        <v>3.03</v>
      </c>
      <c r="E11" t="s">
        <v>2410</v>
      </c>
      <c r="F11" s="16">
        <v>0</v>
      </c>
      <c r="G11" s="16">
        <v>3</v>
      </c>
      <c r="H11" s="16">
        <v>2</v>
      </c>
      <c r="I11" s="16">
        <v>2</v>
      </c>
      <c r="J11" s="16">
        <v>1</v>
      </c>
      <c r="K11" s="16">
        <v>0</v>
      </c>
      <c r="L11" s="16">
        <v>1</v>
      </c>
      <c r="M11" s="16">
        <v>3</v>
      </c>
      <c r="N11" s="16">
        <v>2</v>
      </c>
      <c r="O11" t="s">
        <v>124</v>
      </c>
      <c r="P11" t="s">
        <v>125</v>
      </c>
      <c r="Q11" t="s">
        <v>235</v>
      </c>
    </row>
    <row r="12" spans="1:17" x14ac:dyDescent="0.15">
      <c r="A12" t="s">
        <v>2411</v>
      </c>
      <c r="B12" t="s">
        <v>2508</v>
      </c>
      <c r="C12">
        <v>9.2200000000000006</v>
      </c>
      <c r="D12">
        <v>4.0999999999999996</v>
      </c>
      <c r="E12" t="s">
        <v>2409</v>
      </c>
      <c r="F12" s="16">
        <v>0</v>
      </c>
      <c r="G12" s="16">
        <v>3</v>
      </c>
      <c r="H12" s="16">
        <v>2</v>
      </c>
      <c r="I12" s="16">
        <v>0</v>
      </c>
      <c r="J12" s="16">
        <v>0</v>
      </c>
      <c r="K12" s="16">
        <v>0</v>
      </c>
      <c r="L12" s="16">
        <v>1</v>
      </c>
      <c r="M12" s="16">
        <v>2</v>
      </c>
      <c r="N12" s="16">
        <v>2</v>
      </c>
      <c r="O12" t="s">
        <v>124</v>
      </c>
      <c r="P12" t="s">
        <v>125</v>
      </c>
      <c r="Q12" t="s">
        <v>187</v>
      </c>
    </row>
    <row r="13" spans="1:17" x14ac:dyDescent="0.15">
      <c r="A13" t="s">
        <v>2360</v>
      </c>
      <c r="B13" t="s">
        <v>122</v>
      </c>
      <c r="C13">
        <v>2.92</v>
      </c>
      <c r="D13">
        <v>0.86</v>
      </c>
      <c r="E13" t="s">
        <v>2359</v>
      </c>
      <c r="F13" s="16">
        <v>0</v>
      </c>
      <c r="G13" s="16">
        <v>3</v>
      </c>
      <c r="H13" s="16">
        <v>2</v>
      </c>
      <c r="I13" s="16">
        <v>2</v>
      </c>
      <c r="J13" s="16">
        <v>2</v>
      </c>
      <c r="K13" s="16">
        <v>1</v>
      </c>
      <c r="L13" s="16">
        <v>1</v>
      </c>
      <c r="M13" s="16">
        <v>2</v>
      </c>
      <c r="N13" s="16">
        <v>2</v>
      </c>
      <c r="O13" t="s">
        <v>124</v>
      </c>
      <c r="P13" t="s">
        <v>125</v>
      </c>
      <c r="Q13" t="s">
        <v>2644</v>
      </c>
    </row>
    <row r="14" spans="1:17" x14ac:dyDescent="0.15">
      <c r="A14" t="s">
        <v>2362</v>
      </c>
      <c r="B14" t="s">
        <v>2508</v>
      </c>
      <c r="C14">
        <v>12.42</v>
      </c>
      <c r="D14">
        <v>4.54</v>
      </c>
      <c r="E14" t="s">
        <v>2361</v>
      </c>
      <c r="F14" s="16">
        <v>0</v>
      </c>
      <c r="G14" s="16">
        <v>4</v>
      </c>
      <c r="H14" s="16">
        <v>1</v>
      </c>
      <c r="I14" s="16">
        <v>0</v>
      </c>
      <c r="J14" s="16">
        <v>0</v>
      </c>
      <c r="K14" s="16">
        <v>2</v>
      </c>
      <c r="L14" s="16">
        <v>1</v>
      </c>
      <c r="M14" s="16">
        <v>2</v>
      </c>
      <c r="N14" s="16">
        <v>3</v>
      </c>
      <c r="O14" t="s">
        <v>124</v>
      </c>
      <c r="P14" t="s">
        <v>2509</v>
      </c>
      <c r="Q14" t="s">
        <v>188</v>
      </c>
    </row>
    <row r="15" spans="1:17" x14ac:dyDescent="0.15">
      <c r="A15" t="s">
        <v>2412</v>
      </c>
      <c r="B15" t="s">
        <v>132</v>
      </c>
      <c r="C15">
        <v>2.99</v>
      </c>
      <c r="D15">
        <v>1.19</v>
      </c>
      <c r="E15" t="s">
        <v>2413</v>
      </c>
      <c r="F15" s="16">
        <v>3</v>
      </c>
      <c r="G15" s="16">
        <v>0</v>
      </c>
      <c r="H15" s="16">
        <v>0</v>
      </c>
      <c r="I15" s="16">
        <v>2</v>
      </c>
      <c r="J15" s="16">
        <v>1</v>
      </c>
      <c r="K15" s="16">
        <v>0</v>
      </c>
      <c r="L15" s="16">
        <v>1</v>
      </c>
      <c r="M15" s="16">
        <v>2</v>
      </c>
      <c r="N15" s="16">
        <v>2</v>
      </c>
      <c r="O15" t="s">
        <v>124</v>
      </c>
      <c r="P15" t="s">
        <v>1041</v>
      </c>
      <c r="Q15" t="s">
        <v>270</v>
      </c>
    </row>
    <row r="16" spans="1:17" x14ac:dyDescent="0.15">
      <c r="A16" t="s">
        <v>2506</v>
      </c>
      <c r="B16" t="s">
        <v>1538</v>
      </c>
      <c r="C16">
        <v>3.86</v>
      </c>
      <c r="D16">
        <v>1.52</v>
      </c>
      <c r="E16" t="s">
        <v>2414</v>
      </c>
      <c r="F16" s="16">
        <v>0</v>
      </c>
      <c r="G16" s="16">
        <v>5</v>
      </c>
      <c r="H16" s="16">
        <v>2</v>
      </c>
      <c r="I16" s="16">
        <v>0</v>
      </c>
      <c r="J16" s="16">
        <v>0</v>
      </c>
      <c r="K16" s="16">
        <v>0</v>
      </c>
      <c r="L16" s="16">
        <v>1</v>
      </c>
      <c r="M16" s="16">
        <v>2</v>
      </c>
      <c r="N16" s="16">
        <v>2</v>
      </c>
      <c r="O16" t="s">
        <v>393</v>
      </c>
      <c r="P16" t="s">
        <v>2507</v>
      </c>
      <c r="Q16" t="s">
        <v>2588</v>
      </c>
    </row>
    <row r="17" spans="1:17" x14ac:dyDescent="0.15">
      <c r="A17" t="s">
        <v>2473</v>
      </c>
      <c r="B17" t="s">
        <v>2474</v>
      </c>
      <c r="C17">
        <v>4.07</v>
      </c>
      <c r="D17">
        <v>1.33</v>
      </c>
      <c r="E17" t="s">
        <v>2364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2</v>
      </c>
      <c r="N17" s="16">
        <v>2</v>
      </c>
      <c r="O17" t="s">
        <v>124</v>
      </c>
      <c r="P17" t="s">
        <v>125</v>
      </c>
      <c r="Q17" t="s">
        <v>2589</v>
      </c>
    </row>
    <row r="18" spans="1:17" x14ac:dyDescent="0.15">
      <c r="A18" t="s">
        <v>2365</v>
      </c>
      <c r="B18" t="s">
        <v>2508</v>
      </c>
      <c r="C18">
        <v>6.52</v>
      </c>
      <c r="D18">
        <v>2.19</v>
      </c>
      <c r="E18" t="s">
        <v>2366</v>
      </c>
      <c r="F18" s="16">
        <v>3</v>
      </c>
      <c r="G18" s="16">
        <v>0</v>
      </c>
      <c r="H18" s="16">
        <v>0</v>
      </c>
      <c r="I18" s="16">
        <v>2</v>
      </c>
      <c r="J18" s="16">
        <v>2</v>
      </c>
      <c r="K18" s="16">
        <v>1</v>
      </c>
      <c r="L18" s="16">
        <v>1</v>
      </c>
      <c r="M18" s="16">
        <v>2</v>
      </c>
      <c r="N18" s="16">
        <v>2</v>
      </c>
      <c r="O18" t="s">
        <v>124</v>
      </c>
      <c r="P18" t="s">
        <v>2367</v>
      </c>
      <c r="Q18" t="s">
        <v>135</v>
      </c>
    </row>
    <row r="19" spans="1:17" x14ac:dyDescent="0.15">
      <c r="A19" t="s">
        <v>2368</v>
      </c>
      <c r="B19" t="s">
        <v>2369</v>
      </c>
      <c r="C19">
        <v>2.57</v>
      </c>
      <c r="D19">
        <v>0.7</v>
      </c>
      <c r="E19" t="s">
        <v>2370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1</v>
      </c>
      <c r="M19" s="16">
        <v>2</v>
      </c>
      <c r="N19" s="16">
        <v>2</v>
      </c>
      <c r="O19" t="s">
        <v>2371</v>
      </c>
      <c r="P19" t="s">
        <v>2507</v>
      </c>
      <c r="Q19" t="s">
        <v>2501</v>
      </c>
    </row>
    <row r="20" spans="1:17" x14ac:dyDescent="0.15">
      <c r="A20" t="s">
        <v>2523</v>
      </c>
      <c r="B20" t="s">
        <v>2524</v>
      </c>
      <c r="C20">
        <v>3.26</v>
      </c>
      <c r="D20">
        <v>1.5</v>
      </c>
      <c r="E20" t="s">
        <v>2526</v>
      </c>
      <c r="F20" s="16">
        <v>0</v>
      </c>
      <c r="G20" s="16">
        <v>2</v>
      </c>
      <c r="H20" s="16">
        <v>1</v>
      </c>
      <c r="I20" s="16">
        <v>0</v>
      </c>
      <c r="J20" s="16">
        <v>0</v>
      </c>
      <c r="K20" s="16">
        <v>0</v>
      </c>
      <c r="L20" s="16">
        <v>1</v>
      </c>
      <c r="M20" s="16">
        <v>2</v>
      </c>
      <c r="N20" s="16">
        <v>0</v>
      </c>
      <c r="O20" t="s">
        <v>238</v>
      </c>
      <c r="P20" t="s">
        <v>2525</v>
      </c>
      <c r="Q20" t="s">
        <v>2650</v>
      </c>
    </row>
    <row r="21" spans="1:17" x14ac:dyDescent="0.15">
      <c r="A21" t="s">
        <v>2530</v>
      </c>
      <c r="B21" t="s">
        <v>2527</v>
      </c>
      <c r="C21">
        <v>4.34</v>
      </c>
      <c r="D21">
        <v>1.55</v>
      </c>
      <c r="E21" t="s">
        <v>2528</v>
      </c>
      <c r="F21" s="16">
        <v>0</v>
      </c>
      <c r="G21" s="16">
        <v>5</v>
      </c>
      <c r="H21" s="16">
        <v>2</v>
      </c>
      <c r="I21" s="16">
        <v>1</v>
      </c>
      <c r="J21" s="16">
        <v>2</v>
      </c>
      <c r="K21" s="16">
        <v>1</v>
      </c>
      <c r="L21" s="16">
        <v>2</v>
      </c>
      <c r="M21" s="16">
        <v>3</v>
      </c>
      <c r="N21" s="16">
        <v>2</v>
      </c>
      <c r="O21" t="s">
        <v>124</v>
      </c>
      <c r="P21" t="s">
        <v>125</v>
      </c>
      <c r="Q21" t="s">
        <v>2502</v>
      </c>
    </row>
    <row r="22" spans="1:17" x14ac:dyDescent="0.15">
      <c r="A22" t="s">
        <v>2529</v>
      </c>
      <c r="B22" t="s">
        <v>2369</v>
      </c>
      <c r="C22">
        <v>4.93</v>
      </c>
      <c r="D22">
        <v>2.23</v>
      </c>
      <c r="E22" t="s">
        <v>2609</v>
      </c>
      <c r="F22" s="16">
        <v>0</v>
      </c>
      <c r="G22" s="16">
        <v>2</v>
      </c>
      <c r="H22" s="16">
        <v>1</v>
      </c>
      <c r="I22" s="16">
        <v>0</v>
      </c>
      <c r="J22" s="16">
        <v>0</v>
      </c>
      <c r="K22" s="16">
        <v>0</v>
      </c>
      <c r="L22" s="16">
        <v>0</v>
      </c>
      <c r="M22" s="16">
        <v>3</v>
      </c>
      <c r="N22" s="16">
        <v>2</v>
      </c>
      <c r="O22" t="s">
        <v>124</v>
      </c>
      <c r="P22" t="s">
        <v>492</v>
      </c>
      <c r="Q22" t="s">
        <v>2590</v>
      </c>
    </row>
    <row r="23" spans="1:17" x14ac:dyDescent="0.15">
      <c r="A23" t="s">
        <v>2610</v>
      </c>
      <c r="B23" t="s">
        <v>2611</v>
      </c>
      <c r="C23">
        <v>4.7699999999999996</v>
      </c>
      <c r="D23">
        <v>2.56</v>
      </c>
      <c r="E23" t="s">
        <v>2612</v>
      </c>
      <c r="F23" s="16">
        <v>0</v>
      </c>
      <c r="G23" s="16">
        <v>3</v>
      </c>
      <c r="H23" s="16">
        <v>2</v>
      </c>
      <c r="I23" s="16">
        <v>0</v>
      </c>
      <c r="J23" s="16">
        <v>0</v>
      </c>
      <c r="K23" s="16">
        <v>0</v>
      </c>
      <c r="L23" s="16">
        <v>1</v>
      </c>
      <c r="M23" s="16">
        <v>2</v>
      </c>
      <c r="N23" s="16">
        <v>2</v>
      </c>
      <c r="O23" t="s">
        <v>124</v>
      </c>
      <c r="P23" t="s">
        <v>125</v>
      </c>
      <c r="Q23" t="s">
        <v>271</v>
      </c>
    </row>
    <row r="24" spans="1:17" x14ac:dyDescent="0.15">
      <c r="A24" t="s">
        <v>2613</v>
      </c>
      <c r="B24" t="s">
        <v>2474</v>
      </c>
      <c r="C24">
        <v>2.76</v>
      </c>
      <c r="D24">
        <v>1.73</v>
      </c>
      <c r="E24" t="s">
        <v>2540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2</v>
      </c>
      <c r="N24" s="16">
        <v>2</v>
      </c>
      <c r="O24" t="s">
        <v>124</v>
      </c>
      <c r="P24" t="s">
        <v>492</v>
      </c>
      <c r="Q24" t="s">
        <v>2638</v>
      </c>
    </row>
    <row r="26" spans="1:17" x14ac:dyDescent="0.15">
      <c r="A26" s="8" t="s">
        <v>32</v>
      </c>
    </row>
  </sheetData>
  <phoneticPr fontId="10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E47" sqref="E47"/>
    </sheetView>
  </sheetViews>
  <sheetFormatPr baseColWidth="10" defaultRowHeight="13" x14ac:dyDescent="0.15"/>
  <cols>
    <col min="1" max="1" width="14.5" bestFit="1" customWidth="1"/>
    <col min="2" max="2" width="13.83203125" bestFit="1" customWidth="1"/>
    <col min="3" max="3" width="19" bestFit="1" customWidth="1"/>
    <col min="6" max="6" width="13.6640625" bestFit="1" customWidth="1"/>
    <col min="7" max="7" width="11.83203125" bestFit="1" customWidth="1"/>
    <col min="11" max="11" width="15.5" bestFit="1" customWidth="1"/>
    <col min="13" max="13" width="11.83203125" bestFit="1" customWidth="1"/>
    <col min="14" max="14" width="13.33203125" bestFit="1" customWidth="1"/>
    <col min="15" max="15" width="15.5" bestFit="1" customWidth="1"/>
    <col min="18" max="18" width="64.33203125" customWidth="1"/>
  </cols>
  <sheetData>
    <row r="1" spans="1:18" x14ac:dyDescent="0.15">
      <c r="A1" t="s">
        <v>1280</v>
      </c>
      <c r="B1" t="s">
        <v>1290</v>
      </c>
      <c r="C1" t="s">
        <v>2441</v>
      </c>
      <c r="D1" t="s">
        <v>1281</v>
      </c>
      <c r="E1" t="s">
        <v>1282</v>
      </c>
      <c r="F1" t="s">
        <v>1283</v>
      </c>
      <c r="G1" t="s">
        <v>1388</v>
      </c>
      <c r="H1" t="s">
        <v>1226</v>
      </c>
      <c r="I1" t="s">
        <v>1285</v>
      </c>
      <c r="J1" t="s">
        <v>1227</v>
      </c>
      <c r="K1" t="s">
        <v>1286</v>
      </c>
      <c r="L1" t="s">
        <v>1287</v>
      </c>
      <c r="M1" t="s">
        <v>1288</v>
      </c>
      <c r="N1" t="s">
        <v>1289</v>
      </c>
      <c r="O1" t="s">
        <v>1195</v>
      </c>
      <c r="P1" t="s">
        <v>1224</v>
      </c>
      <c r="Q1" t="s">
        <v>1228</v>
      </c>
      <c r="R1" t="s">
        <v>1225</v>
      </c>
    </row>
    <row r="3" spans="1:18" x14ac:dyDescent="0.15">
      <c r="A3" t="s">
        <v>2470</v>
      </c>
      <c r="B3" t="s">
        <v>2541</v>
      </c>
      <c r="D3">
        <v>4.4400000000000004</v>
      </c>
      <c r="E3">
        <v>0.81</v>
      </c>
      <c r="F3" t="s">
        <v>2511</v>
      </c>
      <c r="G3" s="16">
        <v>2</v>
      </c>
      <c r="H3" s="16">
        <v>4</v>
      </c>
      <c r="I3" s="16">
        <v>2</v>
      </c>
      <c r="J3" s="16">
        <v>1</v>
      </c>
      <c r="K3" s="16">
        <v>1</v>
      </c>
      <c r="L3" s="16">
        <v>1</v>
      </c>
      <c r="M3" s="16">
        <v>1</v>
      </c>
      <c r="N3" s="16">
        <v>2</v>
      </c>
      <c r="O3" s="16">
        <v>2</v>
      </c>
      <c r="P3" t="s">
        <v>238</v>
      </c>
      <c r="Q3" t="s">
        <v>2435</v>
      </c>
      <c r="R3" t="s">
        <v>272</v>
      </c>
    </row>
    <row r="4" spans="1:18" x14ac:dyDescent="0.15">
      <c r="A4" t="s">
        <v>2471</v>
      </c>
      <c r="B4" t="s">
        <v>2472</v>
      </c>
      <c r="D4">
        <v>6</v>
      </c>
      <c r="E4">
        <v>3.29</v>
      </c>
      <c r="F4" t="s">
        <v>2512</v>
      </c>
      <c r="G4" s="16">
        <v>0</v>
      </c>
      <c r="H4" s="16">
        <v>3</v>
      </c>
      <c r="I4" s="16">
        <v>1</v>
      </c>
      <c r="J4" s="16">
        <v>0</v>
      </c>
      <c r="K4" s="16">
        <v>0</v>
      </c>
      <c r="L4" s="16">
        <v>0</v>
      </c>
      <c r="M4" s="16">
        <v>1</v>
      </c>
      <c r="N4" s="16">
        <v>3</v>
      </c>
      <c r="O4" s="16">
        <v>2</v>
      </c>
      <c r="P4" t="s">
        <v>393</v>
      </c>
      <c r="Q4" t="s">
        <v>2586</v>
      </c>
    </row>
    <row r="5" spans="1:18" x14ac:dyDescent="0.15">
      <c r="A5" t="s">
        <v>2513</v>
      </c>
      <c r="B5" t="s">
        <v>2508</v>
      </c>
      <c r="D5">
        <v>6.17</v>
      </c>
      <c r="E5">
        <v>1.62</v>
      </c>
      <c r="F5" t="s">
        <v>2514</v>
      </c>
      <c r="G5" s="16">
        <v>1</v>
      </c>
      <c r="H5" s="16">
        <v>2</v>
      </c>
      <c r="I5" s="16">
        <v>1</v>
      </c>
      <c r="J5" s="16">
        <v>0</v>
      </c>
      <c r="K5" s="16">
        <v>0</v>
      </c>
      <c r="L5" s="16">
        <v>0</v>
      </c>
      <c r="M5" s="16">
        <v>1</v>
      </c>
      <c r="N5" s="16">
        <v>2</v>
      </c>
      <c r="O5" s="16">
        <v>2</v>
      </c>
      <c r="P5" t="s">
        <v>238</v>
      </c>
      <c r="Q5" t="s">
        <v>1041</v>
      </c>
    </row>
    <row r="6" spans="1:18" x14ac:dyDescent="0.15">
      <c r="A6" t="s">
        <v>2437</v>
      </c>
      <c r="B6" t="s">
        <v>2438</v>
      </c>
      <c r="C6" s="4" t="s">
        <v>2439</v>
      </c>
      <c r="D6">
        <v>6.42</v>
      </c>
      <c r="E6">
        <v>3.12</v>
      </c>
      <c r="F6" t="s">
        <v>2417</v>
      </c>
      <c r="G6" s="16">
        <v>0</v>
      </c>
      <c r="H6" s="16">
        <v>3</v>
      </c>
      <c r="I6" s="16">
        <v>2</v>
      </c>
      <c r="J6" s="16">
        <v>0</v>
      </c>
      <c r="K6" s="16">
        <v>0</v>
      </c>
      <c r="L6" s="16">
        <v>1</v>
      </c>
      <c r="M6" s="16">
        <v>1</v>
      </c>
      <c r="N6" s="16">
        <v>3</v>
      </c>
      <c r="O6" s="16">
        <v>2</v>
      </c>
      <c r="P6" t="s">
        <v>2436</v>
      </c>
      <c r="Q6" t="s">
        <v>125</v>
      </c>
    </row>
    <row r="7" spans="1:18" x14ac:dyDescent="0.15">
      <c r="A7" t="s">
        <v>2595</v>
      </c>
      <c r="B7" t="s">
        <v>2508</v>
      </c>
      <c r="D7">
        <v>4.43</v>
      </c>
      <c r="E7">
        <v>1.68</v>
      </c>
      <c r="F7" t="s">
        <v>2418</v>
      </c>
      <c r="G7" s="16">
        <v>3</v>
      </c>
      <c r="H7" s="16">
        <v>2</v>
      </c>
      <c r="I7" s="16">
        <v>1</v>
      </c>
      <c r="J7" s="16">
        <v>0</v>
      </c>
      <c r="K7" s="16">
        <v>0</v>
      </c>
      <c r="L7" s="16">
        <v>0</v>
      </c>
      <c r="M7" s="16">
        <v>1</v>
      </c>
      <c r="N7" s="16">
        <v>2</v>
      </c>
      <c r="O7" s="16">
        <v>2</v>
      </c>
      <c r="P7" t="s">
        <v>124</v>
      </c>
      <c r="Q7" t="s">
        <v>1041</v>
      </c>
    </row>
    <row r="8" spans="1:18" x14ac:dyDescent="0.15">
      <c r="A8" t="s">
        <v>2520</v>
      </c>
      <c r="B8" t="s">
        <v>2472</v>
      </c>
      <c r="D8">
        <v>5.57</v>
      </c>
      <c r="E8">
        <v>3.38</v>
      </c>
      <c r="F8" t="s">
        <v>2419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2</v>
      </c>
      <c r="O8" s="16">
        <v>0</v>
      </c>
      <c r="P8" t="s">
        <v>124</v>
      </c>
      <c r="Q8" t="s">
        <v>2521</v>
      </c>
    </row>
    <row r="9" spans="1:18" x14ac:dyDescent="0.15">
      <c r="A9" t="s">
        <v>2597</v>
      </c>
      <c r="B9" t="s">
        <v>2508</v>
      </c>
      <c r="D9">
        <v>3.52</v>
      </c>
      <c r="E9">
        <v>1.94</v>
      </c>
      <c r="F9" t="s">
        <v>2420</v>
      </c>
      <c r="G9" s="16">
        <v>0</v>
      </c>
      <c r="H9" s="16">
        <v>2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2</v>
      </c>
      <c r="O9" s="16">
        <v>0</v>
      </c>
      <c r="P9" t="s">
        <v>124</v>
      </c>
      <c r="Q9" t="s">
        <v>2416</v>
      </c>
      <c r="R9" t="s">
        <v>273</v>
      </c>
    </row>
    <row r="10" spans="1:18" x14ac:dyDescent="0.15">
      <c r="A10" t="s">
        <v>2421</v>
      </c>
      <c r="B10" t="s">
        <v>2472</v>
      </c>
      <c r="D10">
        <v>6.61</v>
      </c>
      <c r="E10">
        <v>3.17</v>
      </c>
      <c r="F10" t="s">
        <v>2422</v>
      </c>
      <c r="G10" s="16">
        <v>0</v>
      </c>
      <c r="H10" s="16">
        <v>3</v>
      </c>
      <c r="I10" s="16">
        <v>2</v>
      </c>
      <c r="J10" s="16">
        <v>0</v>
      </c>
      <c r="K10" s="16">
        <v>0</v>
      </c>
      <c r="L10" s="16">
        <v>0</v>
      </c>
      <c r="M10" s="16">
        <v>1</v>
      </c>
      <c r="N10" s="16">
        <v>2</v>
      </c>
      <c r="O10" s="16">
        <v>2</v>
      </c>
      <c r="P10" t="s">
        <v>2371</v>
      </c>
      <c r="Q10" t="s">
        <v>2507</v>
      </c>
    </row>
    <row r="11" spans="1:18" x14ac:dyDescent="0.15">
      <c r="A11" t="s">
        <v>2423</v>
      </c>
      <c r="B11" t="s">
        <v>2508</v>
      </c>
      <c r="D11">
        <v>6.81</v>
      </c>
      <c r="E11">
        <v>1.68</v>
      </c>
      <c r="F11" t="s">
        <v>2426</v>
      </c>
      <c r="G11" s="16">
        <v>0</v>
      </c>
      <c r="H11" s="16">
        <v>1</v>
      </c>
      <c r="I11" s="16">
        <v>1</v>
      </c>
      <c r="J11" s="16">
        <v>1</v>
      </c>
      <c r="K11" s="16">
        <v>1</v>
      </c>
      <c r="L11" s="16">
        <v>0</v>
      </c>
      <c r="M11" s="16">
        <v>2</v>
      </c>
      <c r="N11" s="16">
        <v>2</v>
      </c>
      <c r="O11" s="16">
        <v>2</v>
      </c>
      <c r="P11" t="s">
        <v>2424</v>
      </c>
      <c r="Q11" t="s">
        <v>125</v>
      </c>
    </row>
    <row r="12" spans="1:18" x14ac:dyDescent="0.15">
      <c r="A12" t="s">
        <v>2425</v>
      </c>
      <c r="B12" t="s">
        <v>2508</v>
      </c>
      <c r="D12">
        <v>5.39</v>
      </c>
      <c r="E12">
        <v>2.79</v>
      </c>
      <c r="F12" t="s">
        <v>2578</v>
      </c>
      <c r="G12" s="16">
        <v>0</v>
      </c>
      <c r="H12" s="16">
        <v>2</v>
      </c>
      <c r="I12" s="16">
        <v>2</v>
      </c>
      <c r="J12" s="16">
        <v>0</v>
      </c>
      <c r="K12" s="16">
        <v>0</v>
      </c>
      <c r="L12" s="16">
        <v>0</v>
      </c>
      <c r="M12" s="16">
        <v>1</v>
      </c>
      <c r="N12" s="16">
        <v>2</v>
      </c>
      <c r="O12" s="16">
        <v>2</v>
      </c>
      <c r="P12" t="s">
        <v>124</v>
      </c>
      <c r="Q12" t="s">
        <v>125</v>
      </c>
    </row>
    <row r="13" spans="1:18" x14ac:dyDescent="0.15">
      <c r="A13" t="s">
        <v>2579</v>
      </c>
      <c r="B13" t="s">
        <v>2580</v>
      </c>
      <c r="D13">
        <v>7.47</v>
      </c>
      <c r="E13">
        <v>2.2000000000000002</v>
      </c>
      <c r="F13" t="s">
        <v>2458</v>
      </c>
      <c r="G13" s="16">
        <v>0</v>
      </c>
      <c r="H13" s="16">
        <v>2</v>
      </c>
      <c r="I13" s="16">
        <v>2</v>
      </c>
      <c r="J13" s="16">
        <v>1</v>
      </c>
      <c r="K13" s="16">
        <v>2</v>
      </c>
      <c r="L13" s="16">
        <v>1</v>
      </c>
      <c r="M13" s="16">
        <v>1</v>
      </c>
      <c r="N13" s="16">
        <v>3</v>
      </c>
      <c r="O13" s="16">
        <v>3</v>
      </c>
      <c r="P13" t="s">
        <v>124</v>
      </c>
      <c r="Q13" t="s">
        <v>125</v>
      </c>
    </row>
    <row r="14" spans="1:18" x14ac:dyDescent="0.15">
      <c r="A14" t="s">
        <v>2645</v>
      </c>
      <c r="B14" t="s">
        <v>2646</v>
      </c>
      <c r="D14">
        <v>6.59</v>
      </c>
      <c r="E14">
        <v>2.8</v>
      </c>
      <c r="F14" t="s">
        <v>2484</v>
      </c>
      <c r="G14" s="16">
        <v>0</v>
      </c>
      <c r="H14" s="16">
        <v>3</v>
      </c>
      <c r="I14" s="16">
        <v>2</v>
      </c>
      <c r="J14" s="16">
        <v>2</v>
      </c>
      <c r="K14" s="16">
        <v>2</v>
      </c>
      <c r="L14" s="16">
        <v>1</v>
      </c>
      <c r="M14" s="16">
        <v>2</v>
      </c>
      <c r="N14" s="16">
        <v>2</v>
      </c>
      <c r="O14" s="16">
        <v>2</v>
      </c>
      <c r="P14" t="s">
        <v>2647</v>
      </c>
      <c r="Q14" t="s">
        <v>2507</v>
      </c>
    </row>
    <row r="15" spans="1:18" x14ac:dyDescent="0.15">
      <c r="A15" t="s">
        <v>2648</v>
      </c>
      <c r="B15" t="s">
        <v>2438</v>
      </c>
      <c r="C15" s="4" t="s">
        <v>2649</v>
      </c>
      <c r="D15">
        <v>5.6</v>
      </c>
      <c r="E15">
        <v>2.77</v>
      </c>
      <c r="F15" t="s">
        <v>2485</v>
      </c>
      <c r="G15" s="16">
        <v>0</v>
      </c>
      <c r="H15" s="16">
        <v>3</v>
      </c>
      <c r="I15" s="16">
        <v>2</v>
      </c>
      <c r="J15" s="16">
        <v>0</v>
      </c>
      <c r="K15" s="16">
        <v>0</v>
      </c>
      <c r="L15" s="16">
        <v>1</v>
      </c>
      <c r="M15" s="16">
        <v>1</v>
      </c>
      <c r="N15" s="16">
        <v>2</v>
      </c>
      <c r="O15" s="16">
        <v>2</v>
      </c>
      <c r="P15" t="s">
        <v>393</v>
      </c>
      <c r="Q15" t="s">
        <v>2507</v>
      </c>
    </row>
    <row r="16" spans="1:18" x14ac:dyDescent="0.15">
      <c r="A16" t="s">
        <v>2583</v>
      </c>
      <c r="B16" t="s">
        <v>2438</v>
      </c>
      <c r="C16" s="4" t="s">
        <v>2584</v>
      </c>
      <c r="D16">
        <v>2.73</v>
      </c>
      <c r="E16">
        <v>1.39</v>
      </c>
      <c r="F16" t="s">
        <v>2486</v>
      </c>
      <c r="G16" s="16">
        <v>0</v>
      </c>
      <c r="H16" s="16">
        <v>5</v>
      </c>
      <c r="I16" s="16">
        <v>2</v>
      </c>
      <c r="J16" s="16">
        <v>0</v>
      </c>
      <c r="K16" s="16">
        <v>0</v>
      </c>
      <c r="L16" s="16">
        <v>1</v>
      </c>
      <c r="M16" s="16">
        <v>1</v>
      </c>
      <c r="N16" s="16">
        <v>2</v>
      </c>
      <c r="O16" s="16">
        <v>1</v>
      </c>
      <c r="P16" t="s">
        <v>393</v>
      </c>
      <c r="Q16" t="s">
        <v>125</v>
      </c>
    </row>
    <row r="17" spans="1:18" x14ac:dyDescent="0.15">
      <c r="A17" t="s">
        <v>2510</v>
      </c>
      <c r="B17" t="s">
        <v>2508</v>
      </c>
      <c r="D17">
        <v>4.8600000000000003</v>
      </c>
      <c r="E17">
        <v>1.3</v>
      </c>
      <c r="F17" t="s">
        <v>2487</v>
      </c>
      <c r="G17" s="16">
        <v>0</v>
      </c>
      <c r="H17" s="16">
        <v>3</v>
      </c>
      <c r="I17" s="16">
        <v>2</v>
      </c>
      <c r="J17" s="16">
        <v>0</v>
      </c>
      <c r="K17" s="16">
        <v>0</v>
      </c>
      <c r="L17" s="16">
        <v>0</v>
      </c>
      <c r="M17" s="16">
        <v>2</v>
      </c>
      <c r="N17" s="16">
        <v>2</v>
      </c>
      <c r="O17" s="16">
        <v>2</v>
      </c>
      <c r="P17" t="s">
        <v>124</v>
      </c>
      <c r="Q17" t="s">
        <v>125</v>
      </c>
    </row>
    <row r="18" spans="1:18" x14ac:dyDescent="0.15">
      <c r="A18" t="s">
        <v>2542</v>
      </c>
      <c r="B18" t="s">
        <v>2544</v>
      </c>
      <c r="C18" s="4" t="s">
        <v>2543</v>
      </c>
      <c r="D18">
        <v>11.37</v>
      </c>
      <c r="E18">
        <v>3.39</v>
      </c>
      <c r="F18" t="s">
        <v>2480</v>
      </c>
      <c r="G18" s="16">
        <v>0</v>
      </c>
      <c r="H18" s="16">
        <v>6</v>
      </c>
      <c r="I18" s="20">
        <v>3</v>
      </c>
      <c r="J18" s="16">
        <v>2</v>
      </c>
      <c r="K18" s="16">
        <v>2</v>
      </c>
      <c r="L18" s="16">
        <v>1</v>
      </c>
      <c r="M18" s="16">
        <v>1</v>
      </c>
      <c r="N18" s="16">
        <v>2</v>
      </c>
      <c r="O18" s="16">
        <v>2</v>
      </c>
      <c r="P18" t="s">
        <v>393</v>
      </c>
      <c r="Q18" t="s">
        <v>125</v>
      </c>
      <c r="R18" t="s">
        <v>189</v>
      </c>
    </row>
    <row r="19" spans="1:18" x14ac:dyDescent="0.15">
      <c r="A19" t="s">
        <v>2545</v>
      </c>
      <c r="B19" t="s">
        <v>2546</v>
      </c>
      <c r="D19">
        <v>8.39</v>
      </c>
      <c r="E19">
        <v>11.58</v>
      </c>
      <c r="F19" t="s">
        <v>2481</v>
      </c>
      <c r="G19" s="16">
        <v>0</v>
      </c>
      <c r="H19" s="16">
        <v>2</v>
      </c>
      <c r="I19" s="16">
        <v>3</v>
      </c>
      <c r="J19" s="16">
        <v>0</v>
      </c>
      <c r="K19" s="16">
        <v>0</v>
      </c>
      <c r="L19" s="16">
        <v>0</v>
      </c>
      <c r="M19" s="16">
        <v>0</v>
      </c>
      <c r="N19" s="16">
        <v>2</v>
      </c>
      <c r="O19" s="16">
        <v>0</v>
      </c>
      <c r="P19" t="s">
        <v>124</v>
      </c>
      <c r="Q19" t="s">
        <v>815</v>
      </c>
      <c r="R19" t="s">
        <v>190</v>
      </c>
    </row>
    <row r="20" spans="1:18" x14ac:dyDescent="0.15">
      <c r="A20" t="s">
        <v>2482</v>
      </c>
      <c r="B20" t="s">
        <v>2483</v>
      </c>
      <c r="D20">
        <v>7.41</v>
      </c>
      <c r="E20">
        <v>2.36</v>
      </c>
      <c r="F20" t="s">
        <v>2601</v>
      </c>
      <c r="G20" s="16">
        <v>0</v>
      </c>
      <c r="H20" s="16">
        <v>4</v>
      </c>
      <c r="I20" s="16">
        <v>1</v>
      </c>
      <c r="J20" s="16">
        <v>1</v>
      </c>
      <c r="K20" s="16">
        <v>2</v>
      </c>
      <c r="L20" s="16">
        <v>1</v>
      </c>
      <c r="M20" s="16">
        <v>1</v>
      </c>
      <c r="N20" s="16">
        <v>2</v>
      </c>
      <c r="O20" s="16">
        <v>2</v>
      </c>
      <c r="P20" t="s">
        <v>124</v>
      </c>
      <c r="Q20" t="s">
        <v>125</v>
      </c>
      <c r="R20" t="s">
        <v>274</v>
      </c>
    </row>
    <row r="21" spans="1:18" x14ac:dyDescent="0.15">
      <c r="A21" t="s">
        <v>2496</v>
      </c>
      <c r="B21" t="s">
        <v>2611</v>
      </c>
      <c r="D21">
        <v>7.11</v>
      </c>
      <c r="E21">
        <v>2.91</v>
      </c>
      <c r="F21" t="s">
        <v>2602</v>
      </c>
      <c r="G21" s="16">
        <v>0</v>
      </c>
      <c r="H21" s="16">
        <v>4</v>
      </c>
      <c r="I21" s="16">
        <v>1</v>
      </c>
      <c r="J21" s="16">
        <v>1</v>
      </c>
      <c r="K21" s="16">
        <v>1</v>
      </c>
      <c r="L21" s="16">
        <v>1</v>
      </c>
      <c r="M21" s="16">
        <v>2</v>
      </c>
      <c r="N21" s="16">
        <v>2</v>
      </c>
      <c r="O21" s="16">
        <v>2</v>
      </c>
      <c r="P21" t="s">
        <v>124</v>
      </c>
      <c r="Q21" t="s">
        <v>125</v>
      </c>
      <c r="R21" t="s">
        <v>275</v>
      </c>
    </row>
    <row r="22" spans="1:18" x14ac:dyDescent="0.15">
      <c r="A22" t="s">
        <v>2497</v>
      </c>
      <c r="B22" t="s">
        <v>2508</v>
      </c>
      <c r="D22">
        <v>3.93</v>
      </c>
      <c r="E22">
        <v>2.12</v>
      </c>
      <c r="F22" t="s">
        <v>2603</v>
      </c>
      <c r="G22" s="16">
        <v>0</v>
      </c>
      <c r="H22" s="16">
        <v>2</v>
      </c>
      <c r="I22" s="16">
        <v>2</v>
      </c>
      <c r="J22" s="16">
        <v>0</v>
      </c>
      <c r="K22" s="16">
        <v>0</v>
      </c>
      <c r="L22" s="16">
        <v>0</v>
      </c>
      <c r="M22" s="16">
        <v>1</v>
      </c>
      <c r="N22" s="16">
        <v>2</v>
      </c>
      <c r="O22" s="16">
        <v>2</v>
      </c>
      <c r="P22" t="s">
        <v>124</v>
      </c>
      <c r="Q22" t="s">
        <v>125</v>
      </c>
      <c r="R22" t="s">
        <v>2639</v>
      </c>
    </row>
    <row r="23" spans="1:18" x14ac:dyDescent="0.15">
      <c r="A23" t="s">
        <v>2498</v>
      </c>
      <c r="B23" t="s">
        <v>2415</v>
      </c>
      <c r="D23">
        <v>6.19</v>
      </c>
      <c r="E23">
        <v>1.38</v>
      </c>
      <c r="F23" t="s">
        <v>349</v>
      </c>
      <c r="G23" s="16">
        <v>2</v>
      </c>
      <c r="H23" s="16">
        <v>5</v>
      </c>
      <c r="I23" s="20">
        <v>4</v>
      </c>
      <c r="J23" s="16">
        <v>0</v>
      </c>
      <c r="K23" s="16">
        <v>0</v>
      </c>
      <c r="L23" s="16">
        <v>0</v>
      </c>
      <c r="M23" s="16">
        <v>1</v>
      </c>
      <c r="N23" s="16">
        <v>2</v>
      </c>
      <c r="O23" s="16">
        <v>3</v>
      </c>
      <c r="P23" t="s">
        <v>124</v>
      </c>
      <c r="Q23" t="s">
        <v>1041</v>
      </c>
    </row>
    <row r="24" spans="1:18" x14ac:dyDescent="0.15">
      <c r="A24" t="s">
        <v>2599</v>
      </c>
      <c r="B24" s="5" t="s">
        <v>244</v>
      </c>
      <c r="C24" s="4" t="s">
        <v>2600</v>
      </c>
      <c r="D24">
        <v>7.99</v>
      </c>
      <c r="E24">
        <v>3.17</v>
      </c>
      <c r="F24" t="s">
        <v>245</v>
      </c>
      <c r="G24" s="16">
        <v>0</v>
      </c>
      <c r="H24" s="16">
        <v>2</v>
      </c>
      <c r="I24" s="16">
        <v>1</v>
      </c>
      <c r="J24" s="16">
        <v>0</v>
      </c>
      <c r="K24" s="16">
        <v>0</v>
      </c>
      <c r="L24" s="16">
        <v>0</v>
      </c>
      <c r="M24" s="16">
        <v>1</v>
      </c>
      <c r="N24" s="16">
        <v>2</v>
      </c>
      <c r="O24" s="16">
        <v>2</v>
      </c>
      <c r="P24" t="s">
        <v>124</v>
      </c>
      <c r="Q24" t="s">
        <v>125</v>
      </c>
    </row>
    <row r="25" spans="1:18" x14ac:dyDescent="0.15">
      <c r="A25" t="s">
        <v>2604</v>
      </c>
      <c r="B25" t="s">
        <v>2605</v>
      </c>
      <c r="C25" s="4" t="s">
        <v>2606</v>
      </c>
      <c r="D25">
        <v>7.19</v>
      </c>
      <c r="E25">
        <v>3.19</v>
      </c>
      <c r="F25" t="s">
        <v>2575</v>
      </c>
      <c r="G25" s="16">
        <v>0</v>
      </c>
      <c r="H25" s="16">
        <v>5</v>
      </c>
      <c r="I25" s="16">
        <v>2</v>
      </c>
      <c r="J25" s="16">
        <v>2</v>
      </c>
      <c r="K25" s="16">
        <v>2</v>
      </c>
      <c r="L25" s="16">
        <v>1</v>
      </c>
      <c r="M25" s="16">
        <v>1</v>
      </c>
      <c r="N25" s="16">
        <v>2</v>
      </c>
      <c r="O25" s="16">
        <v>2</v>
      </c>
      <c r="P25" t="s">
        <v>393</v>
      </c>
      <c r="Q25" t="s">
        <v>125</v>
      </c>
      <c r="R25" t="s">
        <v>259</v>
      </c>
    </row>
    <row r="26" spans="1:18" x14ac:dyDescent="0.15">
      <c r="A26" t="s">
        <v>2607</v>
      </c>
      <c r="B26" t="s">
        <v>2438</v>
      </c>
      <c r="C26" s="4" t="s">
        <v>2608</v>
      </c>
      <c r="D26">
        <v>5.17</v>
      </c>
      <c r="E26">
        <v>2.56</v>
      </c>
      <c r="F26" t="s">
        <v>2576</v>
      </c>
      <c r="G26" s="16">
        <v>0</v>
      </c>
      <c r="H26" s="16">
        <v>3</v>
      </c>
      <c r="I26" s="16">
        <v>2</v>
      </c>
      <c r="J26" s="16">
        <v>1</v>
      </c>
      <c r="K26" s="16">
        <v>2</v>
      </c>
      <c r="L26" s="16">
        <v>1</v>
      </c>
      <c r="M26" s="16">
        <v>1</v>
      </c>
      <c r="N26" s="16">
        <v>2</v>
      </c>
      <c r="O26" s="16">
        <v>1</v>
      </c>
      <c r="P26" t="s">
        <v>393</v>
      </c>
      <c r="Q26" t="s">
        <v>125</v>
      </c>
      <c r="R26" t="s">
        <v>260</v>
      </c>
    </row>
    <row r="27" spans="1:18" x14ac:dyDescent="0.15">
      <c r="A27" t="s">
        <v>2572</v>
      </c>
      <c r="B27" t="s">
        <v>132</v>
      </c>
      <c r="D27">
        <v>4.09</v>
      </c>
      <c r="E27">
        <v>2.0299999999999998</v>
      </c>
      <c r="F27" t="s">
        <v>2577</v>
      </c>
      <c r="G27" s="16">
        <v>0</v>
      </c>
      <c r="H27" s="16">
        <v>2</v>
      </c>
      <c r="I27" s="16">
        <v>2</v>
      </c>
      <c r="J27" s="16">
        <v>0</v>
      </c>
      <c r="K27" s="16">
        <v>0</v>
      </c>
      <c r="L27" s="16">
        <v>0</v>
      </c>
      <c r="M27" s="16">
        <v>1</v>
      </c>
      <c r="N27" s="16">
        <v>2</v>
      </c>
      <c r="O27" s="16">
        <v>2</v>
      </c>
      <c r="P27" t="s">
        <v>124</v>
      </c>
      <c r="Q27" t="s">
        <v>125</v>
      </c>
      <c r="R27" t="s">
        <v>2640</v>
      </c>
    </row>
    <row r="28" spans="1:18" x14ac:dyDescent="0.15">
      <c r="A28" t="s">
        <v>2573</v>
      </c>
      <c r="B28" t="s">
        <v>2438</v>
      </c>
      <c r="D28">
        <v>5.76</v>
      </c>
      <c r="E28">
        <v>2.58</v>
      </c>
      <c r="F28" t="s">
        <v>2708</v>
      </c>
      <c r="G28" s="16">
        <v>0</v>
      </c>
      <c r="H28" s="16">
        <v>3</v>
      </c>
      <c r="I28" s="16">
        <v>1</v>
      </c>
      <c r="J28" s="16">
        <v>0</v>
      </c>
      <c r="K28" s="16">
        <v>0</v>
      </c>
      <c r="L28" s="16">
        <v>1</v>
      </c>
      <c r="M28" s="16">
        <v>1</v>
      </c>
      <c r="N28" s="16">
        <v>3</v>
      </c>
      <c r="O28" s="16">
        <v>2</v>
      </c>
      <c r="P28" t="s">
        <v>2574</v>
      </c>
      <c r="Q28" t="s">
        <v>125</v>
      </c>
    </row>
    <row r="29" spans="1:18" x14ac:dyDescent="0.15">
      <c r="A29" t="s">
        <v>2614</v>
      </c>
      <c r="B29" t="s">
        <v>2438</v>
      </c>
      <c r="D29">
        <v>5.48</v>
      </c>
      <c r="E29">
        <v>2.76</v>
      </c>
      <c r="F29" t="s">
        <v>2615</v>
      </c>
      <c r="G29" s="16">
        <v>0</v>
      </c>
      <c r="H29" s="16">
        <v>4</v>
      </c>
      <c r="I29" s="16">
        <v>1</v>
      </c>
      <c r="J29" s="16">
        <v>0</v>
      </c>
      <c r="K29" s="16">
        <v>0</v>
      </c>
      <c r="L29" s="16">
        <v>1</v>
      </c>
      <c r="M29" s="16">
        <v>1</v>
      </c>
      <c r="N29" s="16">
        <v>2</v>
      </c>
      <c r="O29" s="16">
        <v>0</v>
      </c>
      <c r="P29" t="s">
        <v>2424</v>
      </c>
      <c r="Q29" t="s">
        <v>2525</v>
      </c>
      <c r="R29" t="s">
        <v>2591</v>
      </c>
    </row>
    <row r="30" spans="1:18" x14ac:dyDescent="0.15">
      <c r="A30" t="s">
        <v>2515</v>
      </c>
      <c r="B30" t="s">
        <v>2438</v>
      </c>
      <c r="C30" s="4" t="s">
        <v>2516</v>
      </c>
      <c r="D30">
        <v>3.33</v>
      </c>
      <c r="E30">
        <v>1.33</v>
      </c>
      <c r="F30" t="s">
        <v>2618</v>
      </c>
      <c r="G30" s="16">
        <v>0</v>
      </c>
      <c r="H30" s="16">
        <v>3</v>
      </c>
      <c r="I30" s="16">
        <v>2</v>
      </c>
      <c r="J30" s="16">
        <v>2</v>
      </c>
      <c r="K30" s="16">
        <v>2</v>
      </c>
      <c r="L30" s="16">
        <v>1</v>
      </c>
      <c r="M30" s="16">
        <v>1</v>
      </c>
      <c r="N30" s="16">
        <v>3</v>
      </c>
      <c r="O30" s="16">
        <v>2</v>
      </c>
      <c r="P30" t="s">
        <v>393</v>
      </c>
      <c r="Q30" t="s">
        <v>125</v>
      </c>
      <c r="R30" t="s">
        <v>2641</v>
      </c>
    </row>
    <row r="31" spans="1:18" x14ac:dyDescent="0.15">
      <c r="A31" t="s">
        <v>2550</v>
      </c>
      <c r="B31" t="s">
        <v>122</v>
      </c>
      <c r="D31">
        <v>3.12</v>
      </c>
      <c r="E31">
        <v>0.96</v>
      </c>
      <c r="F31" t="s">
        <v>2619</v>
      </c>
      <c r="G31" s="16">
        <v>0</v>
      </c>
      <c r="H31" s="16">
        <v>0</v>
      </c>
      <c r="I31" s="16">
        <v>0</v>
      </c>
      <c r="J31" s="16">
        <v>2</v>
      </c>
      <c r="K31" s="16">
        <v>2</v>
      </c>
      <c r="L31" s="16">
        <v>1</v>
      </c>
      <c r="M31" s="16">
        <v>2</v>
      </c>
      <c r="N31" s="16">
        <v>3</v>
      </c>
      <c r="O31" s="16">
        <v>2</v>
      </c>
      <c r="P31" t="s">
        <v>124</v>
      </c>
      <c r="Q31" t="s">
        <v>125</v>
      </c>
    </row>
    <row r="32" spans="1:18" x14ac:dyDescent="0.15">
      <c r="A32" t="s">
        <v>2596</v>
      </c>
      <c r="B32" t="s">
        <v>2508</v>
      </c>
      <c r="D32">
        <v>5.86</v>
      </c>
      <c r="E32">
        <v>2.61</v>
      </c>
      <c r="F32" t="s">
        <v>2598</v>
      </c>
      <c r="G32" s="16">
        <v>0</v>
      </c>
      <c r="H32" s="16">
        <v>3</v>
      </c>
      <c r="I32" s="16">
        <v>2</v>
      </c>
      <c r="J32" s="16">
        <v>0</v>
      </c>
      <c r="K32" s="16">
        <v>0</v>
      </c>
      <c r="L32" s="16">
        <v>1</v>
      </c>
      <c r="M32" s="16">
        <v>1</v>
      </c>
      <c r="N32" s="16">
        <v>2</v>
      </c>
      <c r="O32" s="16">
        <v>1</v>
      </c>
      <c r="P32" t="s">
        <v>393</v>
      </c>
      <c r="Q32" t="s">
        <v>125</v>
      </c>
      <c r="R32" t="s">
        <v>2592</v>
      </c>
    </row>
    <row r="34" spans="1:1" x14ac:dyDescent="0.15">
      <c r="A34" s="8" t="s">
        <v>34</v>
      </c>
    </row>
  </sheetData>
  <phoneticPr fontId="1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opLeftCell="A26" workbookViewId="0">
      <selection activeCell="H18" sqref="H18"/>
    </sheetView>
  </sheetViews>
  <sheetFormatPr baseColWidth="10" defaultRowHeight="13" x14ac:dyDescent="0.15"/>
  <cols>
    <col min="1" max="1" width="76.33203125" bestFit="1" customWidth="1"/>
    <col min="2" max="2" width="22" bestFit="1" customWidth="1"/>
    <col min="3" max="3" width="21.6640625" bestFit="1" customWidth="1"/>
    <col min="4" max="4" width="26.5" bestFit="1" customWidth="1"/>
    <col min="5" max="5" width="24.33203125" bestFit="1" customWidth="1"/>
    <col min="6" max="6" width="17.5" bestFit="1" customWidth="1"/>
    <col min="7" max="7" width="17.83203125" bestFit="1" customWidth="1"/>
    <col min="8" max="8" width="15.6640625" bestFit="1" customWidth="1"/>
    <col min="9" max="9" width="16.33203125" bestFit="1" customWidth="1"/>
    <col min="10" max="10" width="17.5" bestFit="1" customWidth="1"/>
    <col min="11" max="11" width="6.5" bestFit="1" customWidth="1"/>
    <col min="12" max="12" width="15.6640625" bestFit="1" customWidth="1"/>
    <col min="13" max="13" width="17.1640625" bestFit="1" customWidth="1"/>
    <col min="14" max="14" width="14.5" bestFit="1" customWidth="1"/>
    <col min="15" max="15" width="16.33203125" bestFit="1" customWidth="1"/>
    <col min="16" max="16" width="17.5" bestFit="1" customWidth="1"/>
    <col min="19" max="19" width="16.5" bestFit="1" customWidth="1"/>
    <col min="20" max="20" width="17.5" bestFit="1" customWidth="1"/>
    <col min="21" max="21" width="17.83203125" bestFit="1" customWidth="1"/>
    <col min="22" max="22" width="14.5" bestFit="1" customWidth="1"/>
    <col min="23" max="23" width="16.33203125" style="8" bestFit="1" customWidth="1"/>
    <col min="24" max="24" width="17.5" bestFit="1" customWidth="1"/>
    <col min="25" max="25" width="19.5" bestFit="1" customWidth="1"/>
    <col min="26" max="26" width="16.1640625" bestFit="1" customWidth="1"/>
    <col min="27" max="27" width="15.33203125" bestFit="1" customWidth="1"/>
    <col min="28" max="28" width="14.5" bestFit="1" customWidth="1"/>
    <col min="29" max="29" width="16.33203125" bestFit="1" customWidth="1"/>
    <col min="30" max="30" width="17.5" bestFit="1" customWidth="1"/>
  </cols>
  <sheetData>
    <row r="1" spans="1:30" x14ac:dyDescent="0.15">
      <c r="E1" s="8" t="s">
        <v>221</v>
      </c>
      <c r="R1" s="8" t="s">
        <v>149</v>
      </c>
    </row>
    <row r="2" spans="1:30" x14ac:dyDescent="0.15">
      <c r="E2" s="10" t="s">
        <v>224</v>
      </c>
      <c r="F2" t="s">
        <v>3017</v>
      </c>
      <c r="G2" s="6" t="s">
        <v>77</v>
      </c>
      <c r="S2" s="10" t="s">
        <v>150</v>
      </c>
      <c r="T2" s="8" t="s">
        <v>3017</v>
      </c>
      <c r="U2" s="7" t="s">
        <v>71</v>
      </c>
    </row>
    <row r="3" spans="1:30" x14ac:dyDescent="0.15">
      <c r="E3" s="8"/>
      <c r="F3" t="s">
        <v>196</v>
      </c>
      <c r="G3" t="s">
        <v>197</v>
      </c>
      <c r="H3" t="s">
        <v>198</v>
      </c>
      <c r="I3" t="s">
        <v>199</v>
      </c>
      <c r="J3" t="s">
        <v>200</v>
      </c>
      <c r="T3" s="8" t="s">
        <v>196</v>
      </c>
      <c r="U3" s="8" t="s">
        <v>197</v>
      </c>
      <c r="V3" s="8" t="s">
        <v>198</v>
      </c>
      <c r="W3" s="8" t="s">
        <v>202</v>
      </c>
      <c r="X3" s="8" t="s">
        <v>200</v>
      </c>
    </row>
    <row r="4" spans="1:30" x14ac:dyDescent="0.15">
      <c r="E4" s="8"/>
      <c r="S4" s="8"/>
    </row>
    <row r="5" spans="1:30" x14ac:dyDescent="0.15">
      <c r="A5" s="8" t="s">
        <v>262</v>
      </c>
      <c r="B5" s="8" t="s">
        <v>263</v>
      </c>
      <c r="C5" s="8" t="s">
        <v>264</v>
      </c>
      <c r="D5" s="8" t="s">
        <v>265</v>
      </c>
      <c r="E5" s="8" t="s">
        <v>225</v>
      </c>
      <c r="F5">
        <v>34</v>
      </c>
      <c r="G5">
        <v>14.388</v>
      </c>
      <c r="H5">
        <v>33</v>
      </c>
      <c r="I5" s="11">
        <v>0.31192660550458717</v>
      </c>
      <c r="J5">
        <v>0.13200000000000001</v>
      </c>
      <c r="S5" t="s">
        <v>174</v>
      </c>
      <c r="T5">
        <v>16</v>
      </c>
      <c r="U5">
        <v>6.3599999999999985</v>
      </c>
      <c r="V5">
        <v>9</v>
      </c>
      <c r="W5" s="31">
        <f>T5/$T$11</f>
        <v>0.30188679245283018</v>
      </c>
      <c r="X5">
        <v>0.12</v>
      </c>
    </row>
    <row r="6" spans="1:30" x14ac:dyDescent="0.15">
      <c r="A6" s="8" t="s">
        <v>266</v>
      </c>
      <c r="B6" s="8" t="s">
        <v>267</v>
      </c>
      <c r="C6" s="8" t="s">
        <v>268</v>
      </c>
      <c r="D6" s="8" t="s">
        <v>204</v>
      </c>
      <c r="E6" s="8" t="s">
        <v>226</v>
      </c>
      <c r="F6">
        <v>33</v>
      </c>
      <c r="G6">
        <v>26.596</v>
      </c>
      <c r="H6">
        <v>61</v>
      </c>
      <c r="I6" s="11">
        <v>0.30275229357798167</v>
      </c>
      <c r="J6">
        <v>0.24399999999999999</v>
      </c>
      <c r="S6" t="s">
        <v>175</v>
      </c>
      <c r="T6">
        <v>20</v>
      </c>
      <c r="U6" s="31">
        <v>14.133333333333329</v>
      </c>
      <c r="V6">
        <v>20</v>
      </c>
      <c r="W6" s="31">
        <f t="shared" ref="W6:W11" si="0">T6/$T$11</f>
        <v>0.37735849056603776</v>
      </c>
      <c r="X6" s="31">
        <v>0.266666666666667</v>
      </c>
    </row>
    <row r="7" spans="1:30" x14ac:dyDescent="0.15">
      <c r="E7" s="8" t="s">
        <v>227</v>
      </c>
      <c r="F7">
        <v>15</v>
      </c>
      <c r="G7">
        <v>19.62</v>
      </c>
      <c r="H7">
        <v>45</v>
      </c>
      <c r="I7" s="11">
        <v>0.13761467889908258</v>
      </c>
      <c r="J7">
        <v>0.18</v>
      </c>
      <c r="S7" t="s">
        <v>176</v>
      </c>
      <c r="T7">
        <v>6</v>
      </c>
      <c r="U7" s="31">
        <v>9.1866666666666692</v>
      </c>
      <c r="V7">
        <v>13</v>
      </c>
      <c r="W7" s="31">
        <f t="shared" si="0"/>
        <v>0.11320754716981132</v>
      </c>
      <c r="X7" s="31">
        <v>0.17333333333333301</v>
      </c>
    </row>
    <row r="8" spans="1:30" x14ac:dyDescent="0.15">
      <c r="A8" s="10" t="s">
        <v>205</v>
      </c>
      <c r="B8" s="8"/>
      <c r="E8" s="8" t="s">
        <v>228</v>
      </c>
      <c r="F8">
        <v>21</v>
      </c>
      <c r="G8">
        <v>27.032</v>
      </c>
      <c r="H8">
        <v>62</v>
      </c>
      <c r="I8" s="11">
        <v>0.19266055045871561</v>
      </c>
      <c r="J8">
        <v>0.248</v>
      </c>
      <c r="S8" t="s">
        <v>177</v>
      </c>
      <c r="T8">
        <v>8</v>
      </c>
      <c r="U8" s="31">
        <v>16.25333333333332</v>
      </c>
      <c r="V8">
        <v>23</v>
      </c>
      <c r="W8" s="31">
        <f t="shared" si="0"/>
        <v>0.15094339622641509</v>
      </c>
      <c r="X8" s="31">
        <v>0.30666666666666698</v>
      </c>
    </row>
    <row r="9" spans="1:30" x14ac:dyDescent="0.15">
      <c r="A9" s="8"/>
      <c r="B9" s="8"/>
      <c r="E9" s="8" t="s">
        <v>229</v>
      </c>
      <c r="F9">
        <v>5</v>
      </c>
      <c r="G9">
        <v>10.9</v>
      </c>
      <c r="H9">
        <v>25</v>
      </c>
      <c r="I9" s="11">
        <v>4.5871559633027525E-2</v>
      </c>
      <c r="J9">
        <v>0.1</v>
      </c>
      <c r="S9" t="s">
        <v>178</v>
      </c>
      <c r="T9">
        <v>3</v>
      </c>
      <c r="U9" s="31">
        <v>2.8266666666666667</v>
      </c>
      <c r="V9">
        <v>4</v>
      </c>
      <c r="W9" s="31">
        <f t="shared" si="0"/>
        <v>5.6603773584905662E-2</v>
      </c>
      <c r="X9" s="31">
        <v>5.3333333333333302E-2</v>
      </c>
    </row>
    <row r="10" spans="1:30" x14ac:dyDescent="0.15">
      <c r="A10" s="8" t="s">
        <v>2611</v>
      </c>
      <c r="B10" s="8">
        <v>125</v>
      </c>
      <c r="C10" s="12">
        <v>0.29342723004694837</v>
      </c>
      <c r="E10" s="8" t="s">
        <v>230</v>
      </c>
      <c r="F10">
        <v>1</v>
      </c>
      <c r="G10">
        <v>10.464</v>
      </c>
      <c r="H10">
        <v>24</v>
      </c>
      <c r="I10" s="11">
        <v>9.1743119266055051E-3</v>
      </c>
      <c r="J10">
        <v>9.6000000000000002E-2</v>
      </c>
      <c r="S10" t="s">
        <v>179</v>
      </c>
      <c r="T10">
        <v>0</v>
      </c>
      <c r="U10">
        <v>4.24</v>
      </c>
      <c r="V10">
        <v>6</v>
      </c>
      <c r="W10" s="8">
        <f t="shared" si="0"/>
        <v>0</v>
      </c>
      <c r="X10">
        <v>0.08</v>
      </c>
    </row>
    <row r="11" spans="1:30" x14ac:dyDescent="0.15">
      <c r="A11" s="8" t="s">
        <v>206</v>
      </c>
      <c r="B11" s="8">
        <v>163</v>
      </c>
      <c r="C11" s="12">
        <v>0.38262910798122068</v>
      </c>
      <c r="E11" s="8" t="s">
        <v>219</v>
      </c>
      <c r="F11">
        <v>109</v>
      </c>
      <c r="G11">
        <v>109</v>
      </c>
      <c r="H11">
        <v>250</v>
      </c>
      <c r="I11">
        <v>1</v>
      </c>
      <c r="J11">
        <v>1</v>
      </c>
      <c r="S11" t="s">
        <v>76</v>
      </c>
      <c r="T11">
        <v>53</v>
      </c>
      <c r="U11">
        <v>53</v>
      </c>
      <c r="V11">
        <v>75</v>
      </c>
      <c r="W11" s="8">
        <f t="shared" si="0"/>
        <v>1</v>
      </c>
      <c r="X11">
        <v>1</v>
      </c>
    </row>
    <row r="12" spans="1:30" x14ac:dyDescent="0.15">
      <c r="A12" s="8" t="s">
        <v>207</v>
      </c>
      <c r="B12" s="8">
        <v>70</v>
      </c>
      <c r="C12" s="12">
        <v>0.16431924882629109</v>
      </c>
      <c r="E12" s="13" t="s">
        <v>231</v>
      </c>
      <c r="F12" t="s">
        <v>78</v>
      </c>
      <c r="S12" s="15" t="s">
        <v>148</v>
      </c>
      <c r="T12" s="29">
        <v>5.8019999999999997E-7</v>
      </c>
    </row>
    <row r="13" spans="1:30" x14ac:dyDescent="0.15">
      <c r="A13" s="8" t="s">
        <v>208</v>
      </c>
      <c r="B13" s="8">
        <v>41</v>
      </c>
      <c r="C13" s="12">
        <v>9.6244131455399062E-2</v>
      </c>
      <c r="E13" s="13" t="s">
        <v>223</v>
      </c>
      <c r="F13">
        <v>42.461799999999997</v>
      </c>
      <c r="S13" s="15" t="s">
        <v>138</v>
      </c>
      <c r="T13" s="16">
        <v>1.01E-2</v>
      </c>
    </row>
    <row r="14" spans="1:30" x14ac:dyDescent="0.15">
      <c r="A14" s="8" t="s">
        <v>209</v>
      </c>
      <c r="B14" s="8">
        <v>8</v>
      </c>
      <c r="C14" s="12">
        <v>1.8779342723004695E-2</v>
      </c>
      <c r="E14" s="8"/>
    </row>
    <row r="15" spans="1:30" x14ac:dyDescent="0.15">
      <c r="A15" s="8" t="s">
        <v>210</v>
      </c>
      <c r="B15" s="8">
        <v>8</v>
      </c>
      <c r="C15" s="12">
        <v>1.8779342723004695E-2</v>
      </c>
      <c r="E15" s="10" t="s">
        <v>3018</v>
      </c>
      <c r="F15" t="s">
        <v>3019</v>
      </c>
      <c r="G15" s="6" t="s">
        <v>144</v>
      </c>
      <c r="L15" t="s">
        <v>72</v>
      </c>
      <c r="M15" s="6" t="s">
        <v>73</v>
      </c>
      <c r="S15" s="10" t="s">
        <v>3018</v>
      </c>
      <c r="T15" s="8" t="s">
        <v>3019</v>
      </c>
      <c r="U15" s="6" t="s">
        <v>144</v>
      </c>
      <c r="Y15" s="8" t="s">
        <v>72</v>
      </c>
      <c r="Z15" s="6" t="s">
        <v>73</v>
      </c>
    </row>
    <row r="16" spans="1:30" x14ac:dyDescent="0.15">
      <c r="A16" s="8" t="s">
        <v>211</v>
      </c>
      <c r="B16" s="8">
        <v>8</v>
      </c>
      <c r="C16" s="12">
        <v>1.8779342723004695E-2</v>
      </c>
      <c r="E16" s="8"/>
      <c r="F16" t="s">
        <v>196</v>
      </c>
      <c r="G16" t="s">
        <v>197</v>
      </c>
      <c r="H16" t="s">
        <v>198</v>
      </c>
      <c r="I16" t="s">
        <v>199</v>
      </c>
      <c r="J16" t="s">
        <v>200</v>
      </c>
      <c r="L16" t="s">
        <v>196</v>
      </c>
      <c r="M16" t="s">
        <v>197</v>
      </c>
      <c r="N16" t="s">
        <v>198</v>
      </c>
      <c r="O16" t="s">
        <v>199</v>
      </c>
      <c r="P16" t="s">
        <v>200</v>
      </c>
      <c r="T16" s="8" t="s">
        <v>196</v>
      </c>
      <c r="U16" s="8" t="s">
        <v>197</v>
      </c>
      <c r="V16" s="8" t="s">
        <v>198</v>
      </c>
      <c r="W16" s="8" t="s">
        <v>202</v>
      </c>
      <c r="X16" s="8" t="s">
        <v>200</v>
      </c>
      <c r="Z16" s="8" t="s">
        <v>196</v>
      </c>
      <c r="AA16" s="8" t="s">
        <v>197</v>
      </c>
      <c r="AB16" s="8" t="s">
        <v>198</v>
      </c>
      <c r="AC16" s="8" t="s">
        <v>199</v>
      </c>
      <c r="AD16" s="8" t="s">
        <v>200</v>
      </c>
    </row>
    <row r="17" spans="1:30" x14ac:dyDescent="0.15">
      <c r="A17" s="8" t="s">
        <v>212</v>
      </c>
      <c r="B17" s="8">
        <v>1</v>
      </c>
      <c r="C17" s="12">
        <v>2.3474178403755869E-3</v>
      </c>
      <c r="E17" s="8"/>
      <c r="K17" t="s">
        <v>74</v>
      </c>
      <c r="L17">
        <v>109</v>
      </c>
      <c r="M17" s="31">
        <v>120.65236051502146</v>
      </c>
      <c r="N17">
        <v>251</v>
      </c>
      <c r="O17" s="31">
        <v>0.48660714285714285</v>
      </c>
      <c r="P17" s="31">
        <v>0.53862660944206009</v>
      </c>
      <c r="S17" s="8"/>
      <c r="Y17" s="8" t="s">
        <v>74</v>
      </c>
      <c r="Z17" s="25">
        <f>107-54</f>
        <v>53</v>
      </c>
      <c r="AA17" s="25">
        <f>AD17*107</f>
        <v>64.2</v>
      </c>
      <c r="AB17" s="25">
        <f>125-50</f>
        <v>75</v>
      </c>
      <c r="AC17" s="31">
        <f>Z17/$Z$19</f>
        <v>0.49532710280373832</v>
      </c>
      <c r="AD17">
        <f>AB17/$AB$19</f>
        <v>0.6</v>
      </c>
    </row>
    <row r="18" spans="1:30" x14ac:dyDescent="0.15">
      <c r="A18" s="8" t="s">
        <v>213</v>
      </c>
      <c r="B18" s="8">
        <v>2</v>
      </c>
      <c r="C18" s="12">
        <v>4.6948356807511738E-3</v>
      </c>
      <c r="E18" s="8" t="s">
        <v>139</v>
      </c>
      <c r="F18">
        <v>59</v>
      </c>
      <c r="G18" s="31">
        <v>55.379032258064512</v>
      </c>
      <c r="H18" s="8">
        <v>126</v>
      </c>
      <c r="I18" s="31">
        <f>F18/$F$21</f>
        <v>0.54128440366972475</v>
      </c>
      <c r="J18" s="31">
        <v>0.50806451612903225</v>
      </c>
      <c r="K18" t="s">
        <v>75</v>
      </c>
      <c r="L18">
        <v>115</v>
      </c>
      <c r="M18" s="31">
        <v>103.34763948497854</v>
      </c>
      <c r="N18">
        <v>215</v>
      </c>
      <c r="O18" s="31">
        <v>0.5133928571428571</v>
      </c>
      <c r="P18" s="31">
        <v>0.46137339055793991</v>
      </c>
      <c r="S18" s="8" t="s">
        <v>139</v>
      </c>
      <c r="T18">
        <v>25</v>
      </c>
      <c r="U18" s="31">
        <v>26.146666666666668</v>
      </c>
      <c r="V18" s="8">
        <v>37</v>
      </c>
      <c r="W18" s="31">
        <f>T18/$T$21</f>
        <v>0.47169811320754718</v>
      </c>
      <c r="X18" s="31">
        <v>0.49333333333333335</v>
      </c>
      <c r="Y18" s="8" t="s">
        <v>75</v>
      </c>
      <c r="Z18" s="25">
        <v>54</v>
      </c>
      <c r="AA18" s="25">
        <f t="shared" ref="AA18:AA19" si="1">AD18*107</f>
        <v>42.800000000000004</v>
      </c>
      <c r="AB18" s="25">
        <v>50</v>
      </c>
      <c r="AC18" s="31">
        <f>Z18/$Z$19</f>
        <v>0.50467289719626163</v>
      </c>
      <c r="AD18" s="8">
        <f>AB18/$AB$19</f>
        <v>0.4</v>
      </c>
    </row>
    <row r="19" spans="1:30" x14ac:dyDescent="0.15">
      <c r="A19" s="8" t="s">
        <v>214</v>
      </c>
      <c r="B19" s="8">
        <v>10</v>
      </c>
      <c r="C19" s="12" t="s">
        <v>220</v>
      </c>
      <c r="E19" s="8" t="s">
        <v>140</v>
      </c>
      <c r="F19">
        <v>41</v>
      </c>
      <c r="G19" s="31">
        <v>30.326612903225804</v>
      </c>
      <c r="H19" s="8">
        <v>69</v>
      </c>
      <c r="I19" s="31">
        <f>F19/$F$21</f>
        <v>0.37614678899082571</v>
      </c>
      <c r="J19" s="31">
        <v>0.27822580645161288</v>
      </c>
      <c r="K19" t="s">
        <v>76</v>
      </c>
      <c r="L19">
        <v>224</v>
      </c>
      <c r="M19">
        <v>224</v>
      </c>
      <c r="N19">
        <v>466</v>
      </c>
      <c r="O19">
        <v>1</v>
      </c>
      <c r="P19">
        <v>1</v>
      </c>
      <c r="S19" s="8" t="s">
        <v>140</v>
      </c>
      <c r="T19">
        <v>26</v>
      </c>
      <c r="U19" s="31">
        <v>21.906666666666666</v>
      </c>
      <c r="V19" s="8">
        <v>31</v>
      </c>
      <c r="W19" s="31">
        <f>T19/$T$21</f>
        <v>0.49056603773584906</v>
      </c>
      <c r="X19" s="31">
        <v>0.41333333333333333</v>
      </c>
      <c r="Y19" s="8" t="s">
        <v>76</v>
      </c>
      <c r="Z19" s="25">
        <f>SUM(Z17:Z18)</f>
        <v>107</v>
      </c>
      <c r="AA19" s="25">
        <f t="shared" si="1"/>
        <v>107</v>
      </c>
      <c r="AB19" s="25">
        <f>SUM(AB17:AB18)</f>
        <v>125</v>
      </c>
      <c r="AC19" s="8">
        <f>Z19/$Z$19</f>
        <v>1</v>
      </c>
      <c r="AD19" s="8">
        <f>AB19/$AB$19</f>
        <v>1</v>
      </c>
    </row>
    <row r="20" spans="1:30" x14ac:dyDescent="0.15">
      <c r="A20" s="8" t="s">
        <v>215</v>
      </c>
      <c r="B20" s="8">
        <f>SUM(B10:B19)</f>
        <v>436</v>
      </c>
      <c r="C20" s="12">
        <v>426</v>
      </c>
      <c r="E20" s="8" t="s">
        <v>141</v>
      </c>
      <c r="F20">
        <v>9</v>
      </c>
      <c r="G20" s="31">
        <v>23.294354838709676</v>
      </c>
      <c r="H20" s="8">
        <v>53</v>
      </c>
      <c r="I20" s="31">
        <f>F20/$F$21</f>
        <v>8.2568807339449546E-2</v>
      </c>
      <c r="J20" s="31">
        <v>0.21370967741935484</v>
      </c>
      <c r="S20" s="8" t="s">
        <v>141</v>
      </c>
      <c r="T20">
        <v>2</v>
      </c>
      <c r="U20" s="31">
        <v>4.9466666666666672</v>
      </c>
      <c r="V20" s="8">
        <v>7</v>
      </c>
      <c r="W20" s="31">
        <f>T20/$T$21</f>
        <v>3.7735849056603772E-2</v>
      </c>
      <c r="X20" s="31">
        <v>9.3333333333333338E-2</v>
      </c>
      <c r="AA20" s="21"/>
      <c r="AB20" s="21"/>
    </row>
    <row r="21" spans="1:30" x14ac:dyDescent="0.15">
      <c r="A21" s="8"/>
      <c r="B21" s="8"/>
      <c r="C21" s="12">
        <v>1.0000000000000002</v>
      </c>
      <c r="E21" s="8" t="s">
        <v>219</v>
      </c>
      <c r="F21">
        <v>109</v>
      </c>
      <c r="G21">
        <v>109</v>
      </c>
      <c r="H21">
        <v>248</v>
      </c>
      <c r="I21" s="8">
        <f>F21/$F$21</f>
        <v>1</v>
      </c>
      <c r="J21">
        <v>1</v>
      </c>
      <c r="S21" s="8" t="s">
        <v>145</v>
      </c>
      <c r="T21">
        <v>53</v>
      </c>
      <c r="U21">
        <v>53</v>
      </c>
      <c r="V21" s="8">
        <f>SUM(V18:V20)</f>
        <v>75</v>
      </c>
      <c r="W21" s="8">
        <f>T21/$T$21</f>
        <v>1</v>
      </c>
      <c r="X21">
        <v>1</v>
      </c>
      <c r="AA21" s="23"/>
      <c r="AB21" s="22"/>
    </row>
    <row r="22" spans="1:30" x14ac:dyDescent="0.15">
      <c r="A22" s="10" t="s">
        <v>216</v>
      </c>
      <c r="B22" s="8"/>
      <c r="E22" s="13" t="s">
        <v>231</v>
      </c>
      <c r="F22">
        <v>1.6999999999999999E-3</v>
      </c>
      <c r="L22">
        <v>0.1183</v>
      </c>
      <c r="S22" s="13" t="s">
        <v>222</v>
      </c>
      <c r="T22">
        <v>0.27660000000000001</v>
      </c>
      <c r="Z22" s="23">
        <v>2.7099999999999999E-2</v>
      </c>
      <c r="AA22" s="24"/>
      <c r="AB22" s="22"/>
    </row>
    <row r="23" spans="1:30" x14ac:dyDescent="0.15">
      <c r="A23" s="8"/>
      <c r="B23" s="8"/>
      <c r="E23" s="13" t="s">
        <v>223</v>
      </c>
      <c r="F23">
        <v>12.764799999999999</v>
      </c>
      <c r="L23">
        <v>2.4392</v>
      </c>
      <c r="S23" s="13" t="s">
        <v>79</v>
      </c>
      <c r="T23">
        <v>2.5703999999999998</v>
      </c>
      <c r="Y23" s="22"/>
      <c r="Z23" s="24">
        <v>4.9000000000000004</v>
      </c>
      <c r="AA23" s="16"/>
      <c r="AB23" s="16"/>
    </row>
    <row r="24" spans="1:30" x14ac:dyDescent="0.15">
      <c r="A24" s="8" t="s">
        <v>2611</v>
      </c>
      <c r="B24" s="8">
        <v>107</v>
      </c>
      <c r="C24" s="12">
        <v>0.58152173913043481</v>
      </c>
      <c r="Y24" s="22"/>
      <c r="AA24" s="16"/>
      <c r="AB24" s="16"/>
    </row>
    <row r="25" spans="1:30" x14ac:dyDescent="0.15">
      <c r="A25" s="8" t="s">
        <v>2170</v>
      </c>
      <c r="B25" s="8">
        <v>35</v>
      </c>
      <c r="C25" s="12">
        <v>0.19021739130434784</v>
      </c>
      <c r="E25" s="10" t="s">
        <v>80</v>
      </c>
      <c r="F25" t="s">
        <v>3017</v>
      </c>
      <c r="G25" s="6" t="s">
        <v>77</v>
      </c>
      <c r="S25" s="10" t="s">
        <v>151</v>
      </c>
      <c r="T25" s="8" t="s">
        <v>3017</v>
      </c>
      <c r="U25" s="6" t="s">
        <v>77</v>
      </c>
      <c r="Y25" s="16"/>
      <c r="Z25" s="16"/>
      <c r="AA25" s="16"/>
      <c r="AB25" s="16"/>
    </row>
    <row r="26" spans="1:30" x14ac:dyDescent="0.15">
      <c r="A26" s="8" t="s">
        <v>2659</v>
      </c>
      <c r="B26" s="8">
        <v>24</v>
      </c>
      <c r="C26" s="12">
        <v>0.13043478260869565</v>
      </c>
      <c r="E26" s="8"/>
      <c r="F26" t="s">
        <v>196</v>
      </c>
      <c r="G26" t="s">
        <v>197</v>
      </c>
      <c r="H26" t="s">
        <v>198</v>
      </c>
      <c r="I26" t="s">
        <v>199</v>
      </c>
      <c r="J26" t="s">
        <v>200</v>
      </c>
      <c r="T26" s="8" t="s">
        <v>196</v>
      </c>
      <c r="U26" s="8" t="s">
        <v>197</v>
      </c>
      <c r="V26" s="8" t="s">
        <v>198</v>
      </c>
      <c r="W26" s="8" t="s">
        <v>202</v>
      </c>
      <c r="X26" s="8" t="s">
        <v>200</v>
      </c>
      <c r="Y26" s="16"/>
      <c r="Z26" s="16"/>
      <c r="AA26" s="16"/>
      <c r="AB26" s="16"/>
    </row>
    <row r="27" spans="1:30" x14ac:dyDescent="0.15">
      <c r="A27" s="8" t="s">
        <v>2663</v>
      </c>
      <c r="B27" s="8">
        <v>4</v>
      </c>
      <c r="C27" s="12">
        <v>2.1739130434782608E-2</v>
      </c>
      <c r="E27" s="8"/>
      <c r="S27" s="8"/>
      <c r="Y27" s="16"/>
      <c r="Z27" s="16"/>
      <c r="AA27" s="16"/>
      <c r="AB27" s="16"/>
    </row>
    <row r="28" spans="1:30" x14ac:dyDescent="0.15">
      <c r="A28" s="8" t="s">
        <v>2661</v>
      </c>
      <c r="B28" s="8">
        <v>5</v>
      </c>
      <c r="C28" s="12">
        <v>2.717391304347826E-2</v>
      </c>
      <c r="E28" s="8" t="s">
        <v>225</v>
      </c>
      <c r="F28">
        <v>18</v>
      </c>
      <c r="G28" s="31">
        <v>9.4610389610389607</v>
      </c>
      <c r="H28">
        <v>47</v>
      </c>
      <c r="I28" s="31">
        <v>0.58064516129032262</v>
      </c>
      <c r="J28" s="31">
        <v>0.30519480519480519</v>
      </c>
      <c r="S28" t="s">
        <v>174</v>
      </c>
      <c r="T28">
        <v>10</v>
      </c>
      <c r="U28" s="31">
        <v>5.8333333333333339</v>
      </c>
      <c r="V28">
        <v>10</v>
      </c>
      <c r="W28" s="31">
        <f>T28/$T$30</f>
        <v>0.7142857142857143</v>
      </c>
      <c r="X28" s="31">
        <v>0.41666666666666702</v>
      </c>
      <c r="Y28" s="16"/>
      <c r="Z28" s="16"/>
      <c r="AA28" s="16"/>
      <c r="AB28" s="16"/>
    </row>
    <row r="29" spans="1:30" x14ac:dyDescent="0.15">
      <c r="A29" s="8" t="s">
        <v>2664</v>
      </c>
      <c r="B29" s="8">
        <v>2</v>
      </c>
      <c r="C29" s="12">
        <v>1.0869565217391304E-2</v>
      </c>
      <c r="E29" s="8" t="s">
        <v>226</v>
      </c>
      <c r="F29">
        <v>13</v>
      </c>
      <c r="G29" s="31">
        <v>21.538961038961038</v>
      </c>
      <c r="H29">
        <v>107</v>
      </c>
      <c r="I29" s="31">
        <v>0.41935483870967744</v>
      </c>
      <c r="J29" s="31">
        <v>0.69480519480519476</v>
      </c>
      <c r="S29" t="s">
        <v>175</v>
      </c>
      <c r="T29">
        <v>4</v>
      </c>
      <c r="U29" s="31">
        <v>8.1666666666666696</v>
      </c>
      <c r="V29">
        <v>14</v>
      </c>
      <c r="W29" s="31">
        <f t="shared" ref="W29:W30" si="2">T29/$T$30</f>
        <v>0.2857142857142857</v>
      </c>
      <c r="X29" s="31">
        <v>0.58333333333333304</v>
      </c>
      <c r="Y29" s="16"/>
      <c r="Z29" s="16"/>
      <c r="AA29" s="16"/>
      <c r="AB29" s="16"/>
    </row>
    <row r="30" spans="1:30" x14ac:dyDescent="0.15">
      <c r="A30" s="8" t="s">
        <v>2666</v>
      </c>
      <c r="B30" s="8">
        <v>6</v>
      </c>
      <c r="C30" s="12">
        <v>3.2608695652173912E-2</v>
      </c>
      <c r="E30" s="8" t="s">
        <v>219</v>
      </c>
      <c r="F30">
        <v>31</v>
      </c>
      <c r="G30">
        <v>31</v>
      </c>
      <c r="H30">
        <v>154</v>
      </c>
      <c r="I30">
        <v>1</v>
      </c>
      <c r="J30">
        <v>1</v>
      </c>
      <c r="S30" t="s">
        <v>76</v>
      </c>
      <c r="T30">
        <v>14</v>
      </c>
      <c r="U30">
        <v>14</v>
      </c>
      <c r="V30">
        <v>24</v>
      </c>
      <c r="W30" s="8">
        <f t="shared" si="2"/>
        <v>1</v>
      </c>
      <c r="X30">
        <v>1</v>
      </c>
      <c r="Y30" s="16"/>
      <c r="Z30" s="16"/>
      <c r="AA30" s="16"/>
      <c r="AB30" s="16"/>
    </row>
    <row r="31" spans="1:30" x14ac:dyDescent="0.15">
      <c r="A31" s="8" t="s">
        <v>217</v>
      </c>
      <c r="B31" s="8">
        <v>0</v>
      </c>
      <c r="C31" s="12">
        <v>0</v>
      </c>
      <c r="E31" s="13" t="s">
        <v>231</v>
      </c>
      <c r="F31">
        <v>8.9999999999999998E-4</v>
      </c>
      <c r="S31" s="13" t="s">
        <v>222</v>
      </c>
      <c r="T31">
        <v>2.3900000000000001E-2</v>
      </c>
      <c r="Y31" s="16"/>
      <c r="Z31" s="16"/>
      <c r="AA31" s="16"/>
      <c r="AB31" s="16"/>
    </row>
    <row r="32" spans="1:30" x14ac:dyDescent="0.15">
      <c r="A32" s="8" t="s">
        <v>218</v>
      </c>
      <c r="B32" s="8">
        <v>1</v>
      </c>
      <c r="C32" s="12">
        <v>5.434782608695652E-3</v>
      </c>
      <c r="E32" s="13" t="s">
        <v>223</v>
      </c>
      <c r="F32">
        <v>11.092000000000001</v>
      </c>
      <c r="S32" s="13" t="s">
        <v>79</v>
      </c>
      <c r="T32">
        <v>5.0999999999999996</v>
      </c>
      <c r="Y32" s="16"/>
      <c r="Z32" s="16"/>
      <c r="AA32" s="16"/>
      <c r="AB32" s="16"/>
    </row>
    <row r="33" spans="1:30" x14ac:dyDescent="0.15">
      <c r="A33" s="8" t="s">
        <v>1712</v>
      </c>
      <c r="B33" s="8">
        <v>0</v>
      </c>
      <c r="C33" s="12">
        <v>0</v>
      </c>
      <c r="E33" s="8"/>
      <c r="Y33" s="16"/>
      <c r="Z33" s="16"/>
      <c r="AA33" s="16"/>
      <c r="AB33" s="16"/>
    </row>
    <row r="34" spans="1:30" x14ac:dyDescent="0.15">
      <c r="A34" s="8" t="s">
        <v>219</v>
      </c>
      <c r="B34" s="8">
        <f>SUM(B24:B33)</f>
        <v>184</v>
      </c>
      <c r="C34" s="12">
        <v>1</v>
      </c>
      <c r="E34" s="10" t="s">
        <v>3020</v>
      </c>
      <c r="F34" t="s">
        <v>3019</v>
      </c>
      <c r="G34" s="6" t="s">
        <v>77</v>
      </c>
      <c r="L34" t="s">
        <v>72</v>
      </c>
      <c r="S34" s="10" t="s">
        <v>3020</v>
      </c>
      <c r="T34" s="8" t="s">
        <v>3019</v>
      </c>
      <c r="U34" s="6" t="s">
        <v>77</v>
      </c>
      <c r="Y34" s="16"/>
      <c r="Z34" s="16"/>
      <c r="AA34" s="16"/>
      <c r="AB34" s="16"/>
    </row>
    <row r="35" spans="1:30" x14ac:dyDescent="0.15">
      <c r="E35" s="8"/>
      <c r="F35" t="s">
        <v>196</v>
      </c>
      <c r="G35" t="s">
        <v>197</v>
      </c>
      <c r="H35" t="s">
        <v>198</v>
      </c>
      <c r="I35" t="s">
        <v>199</v>
      </c>
      <c r="J35" t="s">
        <v>200</v>
      </c>
      <c r="L35" t="s">
        <v>196</v>
      </c>
      <c r="M35" t="s">
        <v>197</v>
      </c>
      <c r="N35" t="s">
        <v>198</v>
      </c>
      <c r="O35" t="s">
        <v>199</v>
      </c>
      <c r="P35" t="s">
        <v>200</v>
      </c>
      <c r="T35" s="8" t="s">
        <v>196</v>
      </c>
      <c r="U35" s="8" t="s">
        <v>197</v>
      </c>
      <c r="V35" s="8" t="s">
        <v>198</v>
      </c>
      <c r="W35" s="8" t="s">
        <v>202</v>
      </c>
      <c r="X35" s="8" t="s">
        <v>200</v>
      </c>
      <c r="Y35" s="16" t="s">
        <v>72</v>
      </c>
      <c r="Z35" s="16" t="s">
        <v>196</v>
      </c>
      <c r="AA35" s="16" t="s">
        <v>197</v>
      </c>
      <c r="AB35" s="16" t="s">
        <v>198</v>
      </c>
      <c r="AC35" s="8" t="s">
        <v>199</v>
      </c>
      <c r="AD35" s="8" t="s">
        <v>200</v>
      </c>
    </row>
    <row r="36" spans="1:30" x14ac:dyDescent="0.15">
      <c r="E36" s="8"/>
      <c r="K36" t="s">
        <v>74</v>
      </c>
      <c r="L36">
        <v>31</v>
      </c>
      <c r="M36" s="31">
        <v>74.025751072961384</v>
      </c>
      <c r="N36">
        <v>154</v>
      </c>
      <c r="O36" s="31">
        <v>0.13839285714285715</v>
      </c>
      <c r="P36" s="31">
        <v>0.33047210300429186</v>
      </c>
      <c r="S36" s="8"/>
      <c r="Y36" s="16" t="s">
        <v>74</v>
      </c>
      <c r="Z36" s="27">
        <f>107-93</f>
        <v>14</v>
      </c>
      <c r="AA36" s="16">
        <f>107*AD36</f>
        <v>20.544</v>
      </c>
      <c r="AB36" s="27">
        <f>125-101</f>
        <v>24</v>
      </c>
      <c r="AC36" s="31">
        <f>Z36/$Z$38</f>
        <v>0.13084112149532709</v>
      </c>
      <c r="AD36">
        <f>AB36/$AB$38</f>
        <v>0.192</v>
      </c>
    </row>
    <row r="37" spans="1:30" x14ac:dyDescent="0.15">
      <c r="A37" s="8" t="s">
        <v>2</v>
      </c>
      <c r="E37" s="8" t="s">
        <v>81</v>
      </c>
      <c r="F37">
        <v>17</v>
      </c>
      <c r="G37">
        <v>15.5</v>
      </c>
      <c r="H37">
        <v>77</v>
      </c>
      <c r="I37" s="31">
        <v>0.54838709677419351</v>
      </c>
      <c r="J37">
        <v>0.5</v>
      </c>
      <c r="K37" t="s">
        <v>75</v>
      </c>
      <c r="L37">
        <v>193</v>
      </c>
      <c r="M37" s="31">
        <v>149.97424892703862</v>
      </c>
      <c r="N37">
        <v>312</v>
      </c>
      <c r="O37" s="31">
        <v>0.8616071428571429</v>
      </c>
      <c r="P37" s="31">
        <v>0.66952789699570814</v>
      </c>
      <c r="S37" t="s">
        <v>182</v>
      </c>
      <c r="T37">
        <v>6</v>
      </c>
      <c r="U37" s="31">
        <v>5.8333333333333339</v>
      </c>
      <c r="V37">
        <v>10</v>
      </c>
      <c r="W37" s="31">
        <f>T37/$T$39</f>
        <v>0.42857142857142855</v>
      </c>
      <c r="X37" s="31">
        <v>0.41666666666666702</v>
      </c>
      <c r="Y37" s="16" t="s">
        <v>75</v>
      </c>
      <c r="Z37" s="27">
        <v>93</v>
      </c>
      <c r="AA37" s="16">
        <f t="shared" ref="AA37:AA38" si="3">107*AD37</f>
        <v>86.456000000000003</v>
      </c>
      <c r="AB37" s="27">
        <v>101</v>
      </c>
      <c r="AC37" s="31">
        <f>Z37/$Z$38</f>
        <v>0.86915887850467288</v>
      </c>
      <c r="AD37" s="8">
        <f>AB37/$AB$38</f>
        <v>0.80800000000000005</v>
      </c>
    </row>
    <row r="38" spans="1:30" x14ac:dyDescent="0.15">
      <c r="A38" s="8" t="s">
        <v>3011</v>
      </c>
      <c r="E38" s="8" t="s">
        <v>82</v>
      </c>
      <c r="F38">
        <v>14</v>
      </c>
      <c r="G38">
        <v>15.5</v>
      </c>
      <c r="H38">
        <v>77</v>
      </c>
      <c r="I38" s="31">
        <v>0.45161290322580644</v>
      </c>
      <c r="J38">
        <v>0.5</v>
      </c>
      <c r="K38" t="s">
        <v>76</v>
      </c>
      <c r="L38">
        <v>224</v>
      </c>
      <c r="M38">
        <v>224</v>
      </c>
      <c r="N38">
        <v>466</v>
      </c>
      <c r="O38">
        <v>1</v>
      </c>
      <c r="P38">
        <v>1</v>
      </c>
      <c r="S38" t="s">
        <v>180</v>
      </c>
      <c r="T38">
        <v>8</v>
      </c>
      <c r="U38" s="31">
        <v>8.1666666666666696</v>
      </c>
      <c r="V38">
        <v>14</v>
      </c>
      <c r="W38" s="31">
        <f t="shared" ref="W38:W39" si="4">T38/$T$39</f>
        <v>0.5714285714285714</v>
      </c>
      <c r="X38" s="31">
        <v>0.58333333333333304</v>
      </c>
      <c r="Y38" s="16" t="s">
        <v>76</v>
      </c>
      <c r="Z38" s="27">
        <f>SUM(Z36:Z37)</f>
        <v>107</v>
      </c>
      <c r="AA38" s="16">
        <f t="shared" si="3"/>
        <v>107</v>
      </c>
      <c r="AB38" s="27">
        <f>AB36+AB37</f>
        <v>125</v>
      </c>
      <c r="AC38" s="8">
        <f>Z38/$Z$38</f>
        <v>1</v>
      </c>
      <c r="AD38" s="8">
        <f>AB38/$AB$38</f>
        <v>1</v>
      </c>
    </row>
    <row r="39" spans="1:30" x14ac:dyDescent="0.15">
      <c r="A39" s="8" t="s">
        <v>3010</v>
      </c>
      <c r="E39" s="8" t="s">
        <v>83</v>
      </c>
      <c r="F39">
        <v>31</v>
      </c>
      <c r="G39">
        <v>31</v>
      </c>
      <c r="H39">
        <v>154</v>
      </c>
      <c r="I39">
        <v>1</v>
      </c>
      <c r="J39">
        <v>1</v>
      </c>
      <c r="S39" t="s">
        <v>76</v>
      </c>
      <c r="T39">
        <v>14</v>
      </c>
      <c r="U39">
        <v>14</v>
      </c>
      <c r="V39">
        <v>24</v>
      </c>
      <c r="W39" s="8">
        <f t="shared" si="4"/>
        <v>1</v>
      </c>
      <c r="X39">
        <v>1</v>
      </c>
      <c r="Y39" s="16"/>
      <c r="Z39" s="16"/>
      <c r="AA39" s="16"/>
      <c r="AB39" s="16"/>
    </row>
    <row r="40" spans="1:30" x14ac:dyDescent="0.15">
      <c r="A40" s="8" t="s">
        <v>44</v>
      </c>
      <c r="E40" s="13" t="s">
        <v>231</v>
      </c>
      <c r="F40">
        <v>0.59</v>
      </c>
      <c r="L40" t="s">
        <v>78</v>
      </c>
      <c r="S40" s="13" t="s">
        <v>222</v>
      </c>
      <c r="T40">
        <v>0.92800000000000005</v>
      </c>
      <c r="Y40" s="16"/>
      <c r="Z40" s="23">
        <v>0.1082</v>
      </c>
      <c r="AA40" s="16"/>
      <c r="AB40" s="16"/>
    </row>
    <row r="41" spans="1:30" x14ac:dyDescent="0.15">
      <c r="A41" s="8" t="s">
        <v>85</v>
      </c>
      <c r="E41" s="13" t="s">
        <v>223</v>
      </c>
      <c r="F41">
        <v>0.2903</v>
      </c>
      <c r="L41">
        <v>37.351300000000002</v>
      </c>
      <c r="S41" s="13" t="s">
        <v>79</v>
      </c>
      <c r="T41">
        <v>8.0000000000000002E-3</v>
      </c>
      <c r="Y41" s="16"/>
      <c r="Z41" s="24">
        <v>2.6</v>
      </c>
      <c r="AA41" s="16"/>
      <c r="AB41" s="16"/>
    </row>
    <row r="42" spans="1:30" x14ac:dyDescent="0.15">
      <c r="A42" s="8" t="s">
        <v>3008</v>
      </c>
      <c r="E42" s="8"/>
      <c r="Y42" s="16"/>
      <c r="Z42" s="16"/>
      <c r="AA42" s="16"/>
      <c r="AB42" s="16"/>
    </row>
    <row r="43" spans="1:30" x14ac:dyDescent="0.15">
      <c r="A43" s="8" t="s">
        <v>0</v>
      </c>
      <c r="E43" s="10" t="s">
        <v>3012</v>
      </c>
      <c r="F43" t="s">
        <v>3013</v>
      </c>
      <c r="G43" s="7" t="s">
        <v>71</v>
      </c>
      <c r="L43" t="s">
        <v>72</v>
      </c>
      <c r="S43" s="10" t="s">
        <v>3012</v>
      </c>
      <c r="T43" s="8" t="s">
        <v>3013</v>
      </c>
      <c r="U43" s="7" t="s">
        <v>71</v>
      </c>
      <c r="Y43" s="16"/>
      <c r="Z43" s="16"/>
      <c r="AA43" s="16"/>
      <c r="AB43" s="16"/>
    </row>
    <row r="44" spans="1:30" x14ac:dyDescent="0.15">
      <c r="A44" s="8" t="s">
        <v>3009</v>
      </c>
      <c r="E44" s="8"/>
      <c r="F44" t="s">
        <v>196</v>
      </c>
      <c r="G44" t="s">
        <v>197</v>
      </c>
      <c r="H44" t="s">
        <v>198</v>
      </c>
      <c r="I44" t="s">
        <v>199</v>
      </c>
      <c r="J44" t="s">
        <v>200</v>
      </c>
      <c r="L44" t="s">
        <v>196</v>
      </c>
      <c r="M44" t="s">
        <v>197</v>
      </c>
      <c r="N44" t="s">
        <v>198</v>
      </c>
      <c r="O44" t="s">
        <v>199</v>
      </c>
      <c r="P44" t="s">
        <v>200</v>
      </c>
      <c r="T44" s="8" t="s">
        <v>196</v>
      </c>
      <c r="U44" s="8" t="s">
        <v>197</v>
      </c>
      <c r="V44" s="8" t="s">
        <v>198</v>
      </c>
      <c r="W44" s="8" t="s">
        <v>202</v>
      </c>
      <c r="X44" s="8" t="s">
        <v>200</v>
      </c>
      <c r="Y44" s="16" t="s">
        <v>72</v>
      </c>
      <c r="Z44" s="16" t="s">
        <v>196</v>
      </c>
      <c r="AA44" s="16" t="s">
        <v>197</v>
      </c>
      <c r="AB44" s="16" t="s">
        <v>198</v>
      </c>
      <c r="AC44" s="8" t="s">
        <v>199</v>
      </c>
      <c r="AD44" s="8" t="s">
        <v>200</v>
      </c>
    </row>
    <row r="45" spans="1:30" x14ac:dyDescent="0.15">
      <c r="A45" s="8" t="s">
        <v>45</v>
      </c>
      <c r="E45" s="8"/>
      <c r="K45" t="s">
        <v>74</v>
      </c>
      <c r="L45">
        <v>20</v>
      </c>
      <c r="M45" s="31">
        <v>91.330472103004297</v>
      </c>
      <c r="N45">
        <v>190</v>
      </c>
      <c r="O45" s="31">
        <v>8.9285714285714288E-2</v>
      </c>
      <c r="P45" s="31">
        <v>0.40772532188841204</v>
      </c>
      <c r="Y45" s="16" t="s">
        <v>74</v>
      </c>
      <c r="Z45" s="27">
        <f>107-95</f>
        <v>12</v>
      </c>
      <c r="AA45" s="16">
        <f>107*AD45</f>
        <v>60.775999999999996</v>
      </c>
      <c r="AB45" s="27">
        <f>125-54</f>
        <v>71</v>
      </c>
      <c r="AC45" s="31">
        <f>Z45/$Z$47</f>
        <v>0.11214953271028037</v>
      </c>
      <c r="AD45">
        <f>AB45/$AB$47</f>
        <v>0.56799999999999995</v>
      </c>
    </row>
    <row r="46" spans="1:30" x14ac:dyDescent="0.15">
      <c r="E46" s="8" t="s">
        <v>81</v>
      </c>
      <c r="F46">
        <v>18</v>
      </c>
      <c r="G46" s="31">
        <v>16.631578947368421</v>
      </c>
      <c r="H46">
        <v>158</v>
      </c>
      <c r="I46">
        <v>0.9</v>
      </c>
      <c r="J46" s="31">
        <v>0.83157894736842108</v>
      </c>
      <c r="K46" t="s">
        <v>75</v>
      </c>
      <c r="L46">
        <v>204</v>
      </c>
      <c r="M46" s="31">
        <v>132.6695278969957</v>
      </c>
      <c r="N46">
        <v>276</v>
      </c>
      <c r="O46" s="31">
        <v>0.9107142857142857</v>
      </c>
      <c r="P46" s="31">
        <v>0.59227467811158796</v>
      </c>
      <c r="S46" t="s">
        <v>182</v>
      </c>
      <c r="T46">
        <v>12</v>
      </c>
      <c r="U46" s="31">
        <v>11.830985915492962</v>
      </c>
      <c r="V46">
        <v>70</v>
      </c>
      <c r="W46" s="8">
        <f>T46/$T$48</f>
        <v>1</v>
      </c>
      <c r="X46" s="31">
        <v>0.98591549295774605</v>
      </c>
      <c r="Y46" s="16" t="s">
        <v>75</v>
      </c>
      <c r="Z46" s="27">
        <v>95</v>
      </c>
      <c r="AA46" s="16">
        <f t="shared" ref="AA46:AA47" si="5">107*AD46</f>
        <v>46.223999999999997</v>
      </c>
      <c r="AB46" s="27">
        <v>54</v>
      </c>
      <c r="AC46" s="31">
        <f>Z46/$Z$47</f>
        <v>0.88785046728971961</v>
      </c>
      <c r="AD46" s="8">
        <f>AB46/$AB$47</f>
        <v>0.432</v>
      </c>
    </row>
    <row r="47" spans="1:30" x14ac:dyDescent="0.15">
      <c r="E47" s="8" t="s">
        <v>84</v>
      </c>
      <c r="F47">
        <v>2</v>
      </c>
      <c r="G47" s="31">
        <v>3.3684210526315788</v>
      </c>
      <c r="H47">
        <v>32</v>
      </c>
      <c r="I47">
        <v>0.1</v>
      </c>
      <c r="J47" s="31">
        <v>0.16842105263157894</v>
      </c>
      <c r="K47" t="s">
        <v>76</v>
      </c>
      <c r="L47">
        <v>224</v>
      </c>
      <c r="M47">
        <v>224</v>
      </c>
      <c r="N47">
        <v>466</v>
      </c>
      <c r="O47">
        <v>1</v>
      </c>
      <c r="P47">
        <v>1</v>
      </c>
      <c r="S47" t="s">
        <v>183</v>
      </c>
      <c r="T47">
        <v>0</v>
      </c>
      <c r="U47" s="31">
        <v>0.169014084507042</v>
      </c>
      <c r="V47">
        <v>1</v>
      </c>
      <c r="W47" s="8">
        <f t="shared" ref="W47:W48" si="6">T47/$T$48</f>
        <v>0</v>
      </c>
      <c r="X47" s="31">
        <v>1.4084507042253501E-2</v>
      </c>
      <c r="Y47" s="16" t="s">
        <v>76</v>
      </c>
      <c r="Z47" s="27">
        <f>Z45+Z46</f>
        <v>107</v>
      </c>
      <c r="AA47" s="16">
        <f t="shared" si="5"/>
        <v>107</v>
      </c>
      <c r="AB47" s="27">
        <f>AB45+AB46</f>
        <v>125</v>
      </c>
      <c r="AC47" s="8">
        <f>Z47/$Z$47</f>
        <v>1</v>
      </c>
      <c r="AD47" s="8">
        <f>AB47/$AB$47</f>
        <v>1</v>
      </c>
    </row>
    <row r="48" spans="1:30" x14ac:dyDescent="0.15">
      <c r="E48" s="8" t="s">
        <v>83</v>
      </c>
      <c r="F48">
        <v>20</v>
      </c>
      <c r="G48">
        <v>20</v>
      </c>
      <c r="H48">
        <v>190</v>
      </c>
      <c r="I48">
        <v>1</v>
      </c>
      <c r="J48">
        <v>1</v>
      </c>
      <c r="S48" t="s">
        <v>76</v>
      </c>
      <c r="T48">
        <v>12</v>
      </c>
      <c r="U48">
        <v>12</v>
      </c>
      <c r="V48">
        <v>71</v>
      </c>
      <c r="W48" s="8">
        <f t="shared" si="6"/>
        <v>1</v>
      </c>
      <c r="X48">
        <v>1</v>
      </c>
      <c r="Y48" s="16"/>
      <c r="Z48" s="16"/>
      <c r="AA48" s="16"/>
      <c r="AB48" s="16"/>
    </row>
    <row r="49" spans="5:30" x14ac:dyDescent="0.15">
      <c r="E49" s="13" t="s">
        <v>231</v>
      </c>
      <c r="F49">
        <v>0.42949999999999999</v>
      </c>
      <c r="L49" t="s">
        <v>78</v>
      </c>
      <c r="S49" s="15" t="s">
        <v>148</v>
      </c>
      <c r="T49" s="16">
        <v>0.85542200000000002</v>
      </c>
      <c r="Y49" s="13" t="s">
        <v>222</v>
      </c>
      <c r="Z49" s="28" t="s">
        <v>136</v>
      </c>
      <c r="AA49" s="16"/>
      <c r="AB49" s="16"/>
    </row>
    <row r="50" spans="5:30" x14ac:dyDescent="0.15">
      <c r="E50" s="13" t="s">
        <v>223</v>
      </c>
      <c r="F50">
        <v>0.624</v>
      </c>
      <c r="L50">
        <v>94.061400000000006</v>
      </c>
      <c r="S50" s="15" t="s">
        <v>138</v>
      </c>
      <c r="T50" s="16">
        <v>1</v>
      </c>
      <c r="Y50" s="13" t="s">
        <v>79</v>
      </c>
      <c r="Z50" s="24">
        <v>90.6</v>
      </c>
      <c r="AA50" s="16"/>
      <c r="AB50" s="16"/>
    </row>
    <row r="51" spans="5:30" x14ac:dyDescent="0.15">
      <c r="E51" s="8"/>
      <c r="Y51" s="16"/>
      <c r="Z51" s="16"/>
      <c r="AA51" s="16"/>
      <c r="AB51" s="16"/>
    </row>
    <row r="52" spans="5:30" x14ac:dyDescent="0.15">
      <c r="E52" s="10" t="s">
        <v>3014</v>
      </c>
      <c r="F52" t="s">
        <v>3013</v>
      </c>
      <c r="G52" s="6" t="s">
        <v>77</v>
      </c>
      <c r="L52" t="s">
        <v>72</v>
      </c>
      <c r="S52" s="10" t="s">
        <v>3014</v>
      </c>
      <c r="T52" s="8" t="s">
        <v>3013</v>
      </c>
      <c r="U52" s="6" t="s">
        <v>77</v>
      </c>
      <c r="Y52" s="16"/>
      <c r="Z52" s="16"/>
      <c r="AA52" s="16"/>
      <c r="AB52" s="16"/>
    </row>
    <row r="53" spans="5:30" x14ac:dyDescent="0.15">
      <c r="E53" s="8"/>
      <c r="F53" t="s">
        <v>196</v>
      </c>
      <c r="G53" t="s">
        <v>197</v>
      </c>
      <c r="H53" t="s">
        <v>198</v>
      </c>
      <c r="I53" t="s">
        <v>199</v>
      </c>
      <c r="J53" t="s">
        <v>200</v>
      </c>
      <c r="L53" t="s">
        <v>196</v>
      </c>
      <c r="M53" t="s">
        <v>197</v>
      </c>
      <c r="N53" t="s">
        <v>198</v>
      </c>
      <c r="O53" t="s">
        <v>199</v>
      </c>
      <c r="P53" t="s">
        <v>200</v>
      </c>
      <c r="T53" s="8" t="s">
        <v>196</v>
      </c>
      <c r="U53" s="8" t="s">
        <v>197</v>
      </c>
      <c r="V53" s="8" t="s">
        <v>198</v>
      </c>
      <c r="W53" s="8" t="s">
        <v>202</v>
      </c>
      <c r="X53" s="8" t="s">
        <v>200</v>
      </c>
      <c r="Y53" s="16" t="s">
        <v>72</v>
      </c>
      <c r="Z53" s="16" t="s">
        <v>196</v>
      </c>
      <c r="AA53" s="16" t="s">
        <v>197</v>
      </c>
      <c r="AB53" s="16" t="s">
        <v>198</v>
      </c>
      <c r="AC53" s="8" t="s">
        <v>199</v>
      </c>
      <c r="AD53" s="8" t="s">
        <v>200</v>
      </c>
    </row>
    <row r="54" spans="5:30" x14ac:dyDescent="0.15">
      <c r="E54" s="8"/>
      <c r="K54" t="s">
        <v>74</v>
      </c>
      <c r="L54">
        <v>125</v>
      </c>
      <c r="M54" s="31">
        <v>181.69957081545064</v>
      </c>
      <c r="N54">
        <v>378</v>
      </c>
      <c r="O54" s="31">
        <v>0.5580357142857143</v>
      </c>
      <c r="P54" s="31">
        <v>0.81115879828326176</v>
      </c>
      <c r="S54" s="8"/>
      <c r="Y54" s="16" t="s">
        <v>74</v>
      </c>
      <c r="Z54" s="27">
        <f>107-52</f>
        <v>55</v>
      </c>
      <c r="AA54" s="16">
        <f>AD54*107</f>
        <v>83.031999999999996</v>
      </c>
      <c r="AB54" s="27">
        <f>125-28</f>
        <v>97</v>
      </c>
      <c r="AC54" s="31">
        <f>Z54/$Z$56</f>
        <v>0.51401869158878499</v>
      </c>
      <c r="AD54">
        <f>AB54/$AB$56</f>
        <v>0.77600000000000002</v>
      </c>
    </row>
    <row r="55" spans="5:30" x14ac:dyDescent="0.15">
      <c r="E55" s="8" t="s">
        <v>81</v>
      </c>
      <c r="F55">
        <v>116</v>
      </c>
      <c r="G55" s="31">
        <v>113.0952380952381</v>
      </c>
      <c r="H55">
        <v>342</v>
      </c>
      <c r="I55">
        <v>0.92800000000000005</v>
      </c>
      <c r="J55" s="31">
        <v>0.90476190476190477</v>
      </c>
      <c r="K55" t="s">
        <v>75</v>
      </c>
      <c r="L55">
        <v>99</v>
      </c>
      <c r="M55" s="31">
        <v>42.300429184549358</v>
      </c>
      <c r="N55">
        <v>88</v>
      </c>
      <c r="O55" s="31">
        <v>0.4419642857142857</v>
      </c>
      <c r="P55" s="31">
        <v>0.18884120171673821</v>
      </c>
      <c r="S55" t="s">
        <v>182</v>
      </c>
      <c r="T55">
        <v>51</v>
      </c>
      <c r="U55" s="31">
        <v>49.329896907216479</v>
      </c>
      <c r="V55">
        <v>87</v>
      </c>
      <c r="W55" s="31">
        <f>T55/$T$57</f>
        <v>0.92727272727272725</v>
      </c>
      <c r="X55" s="31">
        <v>0.89690721649484495</v>
      </c>
      <c r="Y55" s="16" t="s">
        <v>75</v>
      </c>
      <c r="Z55" s="27">
        <v>52</v>
      </c>
      <c r="AA55" s="16">
        <f t="shared" ref="AA55:AA56" si="7">AD55*107</f>
        <v>23.968</v>
      </c>
      <c r="AB55" s="27">
        <v>28</v>
      </c>
      <c r="AC55" s="31">
        <f>Z55/$Z$56</f>
        <v>0.48598130841121495</v>
      </c>
      <c r="AD55" s="8">
        <f>AB55/$AB$56</f>
        <v>0.224</v>
      </c>
    </row>
    <row r="56" spans="5:30" x14ac:dyDescent="0.15">
      <c r="E56" s="8" t="s">
        <v>193</v>
      </c>
      <c r="F56">
        <v>9</v>
      </c>
      <c r="G56" s="31">
        <v>11.904761904761903</v>
      </c>
      <c r="H56">
        <v>36</v>
      </c>
      <c r="I56">
        <v>7.1999999999999995E-2</v>
      </c>
      <c r="J56" s="31">
        <v>9.5238095238095233E-2</v>
      </c>
      <c r="K56" t="s">
        <v>76</v>
      </c>
      <c r="L56">
        <v>224</v>
      </c>
      <c r="M56">
        <v>224</v>
      </c>
      <c r="N56">
        <v>466</v>
      </c>
      <c r="O56">
        <v>1</v>
      </c>
      <c r="P56">
        <v>1</v>
      </c>
      <c r="S56" t="s">
        <v>184</v>
      </c>
      <c r="T56">
        <v>4</v>
      </c>
      <c r="U56" s="31">
        <v>5.6701030927835054</v>
      </c>
      <c r="V56">
        <v>10</v>
      </c>
      <c r="W56" s="31">
        <f t="shared" ref="W56:W57" si="8">T56/$T$57</f>
        <v>7.2727272727272724E-2</v>
      </c>
      <c r="X56" s="31">
        <v>0.10309278350515499</v>
      </c>
      <c r="Y56" s="16" t="s">
        <v>76</v>
      </c>
      <c r="Z56" s="27">
        <f>Z54+Z55</f>
        <v>107</v>
      </c>
      <c r="AA56" s="16">
        <f t="shared" si="7"/>
        <v>107</v>
      </c>
      <c r="AB56" s="27">
        <f>AB54+AB55</f>
        <v>125</v>
      </c>
      <c r="AC56" s="8">
        <f>Z56/$Z$56</f>
        <v>1</v>
      </c>
      <c r="AD56" s="8">
        <f>AB56/$AB$56</f>
        <v>1</v>
      </c>
    </row>
    <row r="57" spans="5:30" x14ac:dyDescent="0.15">
      <c r="E57" s="8" t="s">
        <v>83</v>
      </c>
      <c r="F57">
        <v>125</v>
      </c>
      <c r="G57">
        <v>125</v>
      </c>
      <c r="H57">
        <v>378</v>
      </c>
      <c r="I57">
        <v>1</v>
      </c>
      <c r="J57">
        <v>1</v>
      </c>
      <c r="S57" t="s">
        <v>76</v>
      </c>
      <c r="T57">
        <v>55</v>
      </c>
      <c r="U57">
        <v>55</v>
      </c>
      <c r="V57">
        <v>97</v>
      </c>
      <c r="W57" s="8">
        <f t="shared" si="8"/>
        <v>1</v>
      </c>
      <c r="X57">
        <v>1</v>
      </c>
      <c r="Y57" s="16"/>
      <c r="Z57" s="16"/>
      <c r="AA57" s="16"/>
      <c r="AB57" s="16"/>
    </row>
    <row r="58" spans="5:30" x14ac:dyDescent="0.15">
      <c r="E58" s="13" t="s">
        <v>231</v>
      </c>
      <c r="F58">
        <v>0.37609999999999999</v>
      </c>
      <c r="L58" t="s">
        <v>78</v>
      </c>
      <c r="S58" s="13" t="s">
        <v>222</v>
      </c>
      <c r="T58">
        <v>0.45900000000000002</v>
      </c>
      <c r="Y58" s="16"/>
      <c r="Z58" s="28" t="s">
        <v>70</v>
      </c>
      <c r="AA58" s="16"/>
      <c r="AB58" s="16"/>
    </row>
    <row r="59" spans="5:30" x14ac:dyDescent="0.15">
      <c r="E59" s="13" t="s">
        <v>223</v>
      </c>
      <c r="F59">
        <v>0.78339999999999999</v>
      </c>
      <c r="L59">
        <v>93.693399999999997</v>
      </c>
      <c r="S59" s="13" t="s">
        <v>79</v>
      </c>
      <c r="T59">
        <v>0.5</v>
      </c>
      <c r="Y59" s="16"/>
      <c r="Z59" s="24">
        <v>42.2</v>
      </c>
      <c r="AA59" s="16"/>
      <c r="AB59" s="16"/>
    </row>
    <row r="60" spans="5:30" x14ac:dyDescent="0.15">
      <c r="E60" s="8"/>
      <c r="Y60" s="16"/>
      <c r="Z60" s="16"/>
      <c r="AA60" s="16"/>
      <c r="AB60" s="16"/>
    </row>
    <row r="61" spans="5:30" x14ac:dyDescent="0.15">
      <c r="E61" s="10" t="s">
        <v>3015</v>
      </c>
      <c r="F61" t="s">
        <v>3013</v>
      </c>
      <c r="G61" s="6" t="s">
        <v>77</v>
      </c>
      <c r="L61" t="s">
        <v>72</v>
      </c>
      <c r="S61" s="10" t="s">
        <v>3015</v>
      </c>
      <c r="T61" s="8" t="s">
        <v>3013</v>
      </c>
      <c r="U61" s="7" t="s">
        <v>71</v>
      </c>
      <c r="Y61" s="16"/>
      <c r="Z61" s="16"/>
      <c r="AA61" s="16"/>
      <c r="AB61" s="16"/>
    </row>
    <row r="62" spans="5:30" x14ac:dyDescent="0.15">
      <c r="E62" s="8"/>
      <c r="F62" t="s">
        <v>196</v>
      </c>
      <c r="G62" t="s">
        <v>197</v>
      </c>
      <c r="H62" t="s">
        <v>198</v>
      </c>
      <c r="I62" t="s">
        <v>199</v>
      </c>
      <c r="J62" t="s">
        <v>200</v>
      </c>
      <c r="L62" t="s">
        <v>196</v>
      </c>
      <c r="M62" t="s">
        <v>197</v>
      </c>
      <c r="N62" t="s">
        <v>198</v>
      </c>
      <c r="O62" t="s">
        <v>199</v>
      </c>
      <c r="P62" t="s">
        <v>200</v>
      </c>
      <c r="T62" s="8" t="s">
        <v>196</v>
      </c>
      <c r="U62" s="8" t="s">
        <v>197</v>
      </c>
      <c r="V62" s="8" t="s">
        <v>198</v>
      </c>
      <c r="W62" s="8" t="s">
        <v>202</v>
      </c>
      <c r="X62" s="8" t="s">
        <v>200</v>
      </c>
      <c r="Y62" s="16" t="s">
        <v>72</v>
      </c>
      <c r="Z62" s="16" t="s">
        <v>196</v>
      </c>
      <c r="AA62" s="16" t="s">
        <v>197</v>
      </c>
      <c r="AB62" s="16" t="s">
        <v>198</v>
      </c>
      <c r="AC62" s="8" t="s">
        <v>199</v>
      </c>
      <c r="AD62" s="8" t="s">
        <v>200</v>
      </c>
    </row>
    <row r="63" spans="5:30" x14ac:dyDescent="0.15">
      <c r="E63" s="8"/>
      <c r="K63" t="s">
        <v>74</v>
      </c>
      <c r="L63">
        <v>209</v>
      </c>
      <c r="M63" s="31">
        <v>211.98283261802575</v>
      </c>
      <c r="N63">
        <v>441</v>
      </c>
      <c r="O63" s="31">
        <v>0.9330357142857143</v>
      </c>
      <c r="P63" s="31">
        <v>0.94635193133047213</v>
      </c>
      <c r="S63" s="8"/>
      <c r="Y63" s="16" t="s">
        <v>74</v>
      </c>
      <c r="Z63" s="27">
        <v>106</v>
      </c>
      <c r="AA63" s="16">
        <v>107</v>
      </c>
      <c r="AB63" s="27">
        <v>125</v>
      </c>
      <c r="AC63" s="31">
        <f>Z63/$Z$65</f>
        <v>0.99065420560747663</v>
      </c>
      <c r="AD63">
        <v>1</v>
      </c>
    </row>
    <row r="64" spans="5:30" x14ac:dyDescent="0.15">
      <c r="E64" s="8" t="s">
        <v>74</v>
      </c>
      <c r="F64">
        <v>63</v>
      </c>
      <c r="G64" s="31">
        <v>65.401360544217695</v>
      </c>
      <c r="H64" s="8">
        <v>138</v>
      </c>
      <c r="I64" s="31">
        <f>F64/$F$67</f>
        <v>0.30143540669856461</v>
      </c>
      <c r="J64" s="31">
        <v>0.31292517006802723</v>
      </c>
      <c r="K64" t="s">
        <v>75</v>
      </c>
      <c r="L64">
        <v>15</v>
      </c>
      <c r="M64" s="31">
        <v>12.01716738197425</v>
      </c>
      <c r="N64">
        <v>25</v>
      </c>
      <c r="O64" s="31">
        <v>6.6964285714285712E-2</v>
      </c>
      <c r="P64" s="31">
        <v>5.3648068669527899E-2</v>
      </c>
      <c r="S64" s="8" t="s">
        <v>169</v>
      </c>
      <c r="T64">
        <v>7</v>
      </c>
      <c r="U64">
        <v>3.3919999999999999</v>
      </c>
      <c r="V64" s="8">
        <v>4</v>
      </c>
      <c r="W64" s="31">
        <f>T64/$T$67</f>
        <v>6.6037735849056603E-2</v>
      </c>
      <c r="X64">
        <v>3.2000000000000001E-2</v>
      </c>
      <c r="Y64" s="16" t="s">
        <v>75</v>
      </c>
      <c r="Z64" s="27">
        <v>1</v>
      </c>
      <c r="AA64" s="16">
        <v>0</v>
      </c>
      <c r="AB64" s="27">
        <v>0</v>
      </c>
      <c r="AC64" s="31">
        <f>Z64/$Z$65</f>
        <v>9.3457943925233638E-3</v>
      </c>
      <c r="AD64" s="26" t="s">
        <v>36</v>
      </c>
    </row>
    <row r="65" spans="5:30" x14ac:dyDescent="0.15">
      <c r="E65" s="8" t="s">
        <v>142</v>
      </c>
      <c r="F65">
        <v>123</v>
      </c>
      <c r="G65" s="31">
        <v>123.21995464852607</v>
      </c>
      <c r="H65" s="8">
        <v>260</v>
      </c>
      <c r="I65" s="31">
        <f>F65/$F$67</f>
        <v>0.58851674641148322</v>
      </c>
      <c r="J65" s="31">
        <v>0.58956916099773238</v>
      </c>
      <c r="K65" t="s">
        <v>76</v>
      </c>
      <c r="L65">
        <v>224</v>
      </c>
      <c r="M65">
        <v>224</v>
      </c>
      <c r="N65">
        <v>466</v>
      </c>
      <c r="O65">
        <v>1</v>
      </c>
      <c r="P65">
        <v>1</v>
      </c>
      <c r="S65" s="8" t="s">
        <v>147</v>
      </c>
      <c r="T65">
        <v>84</v>
      </c>
      <c r="U65">
        <v>88.191999999999993</v>
      </c>
      <c r="V65" s="8">
        <v>104</v>
      </c>
      <c r="W65" s="31">
        <f>T65/$T$67</f>
        <v>0.79245283018867929</v>
      </c>
      <c r="X65">
        <v>0.83199999999999996</v>
      </c>
      <c r="Y65" s="16" t="s">
        <v>76</v>
      </c>
      <c r="Z65" s="27">
        <f>Z63+Z64</f>
        <v>107</v>
      </c>
      <c r="AA65" s="16">
        <v>107</v>
      </c>
      <c r="AB65" s="27">
        <f>AB63+AB64</f>
        <v>125</v>
      </c>
      <c r="AC65" s="8">
        <f>Z65/$Z$65</f>
        <v>1</v>
      </c>
      <c r="AD65">
        <v>1</v>
      </c>
    </row>
    <row r="66" spans="5:30" x14ac:dyDescent="0.15">
      <c r="E66" s="8" t="s">
        <v>143</v>
      </c>
      <c r="F66">
        <v>23</v>
      </c>
      <c r="G66" s="31">
        <v>20.378684807256239</v>
      </c>
      <c r="H66" s="8">
        <v>43</v>
      </c>
      <c r="I66" s="31">
        <f>F66/$F$67</f>
        <v>0.11004784688995216</v>
      </c>
      <c r="J66" s="31">
        <v>9.7505668934240369E-2</v>
      </c>
      <c r="S66" s="8" t="s">
        <v>141</v>
      </c>
      <c r="T66">
        <v>15</v>
      </c>
      <c r="U66">
        <v>14.416</v>
      </c>
      <c r="V66" s="8">
        <v>17</v>
      </c>
      <c r="W66" s="31">
        <f>T66/$T$67</f>
        <v>0.14150943396226415</v>
      </c>
      <c r="X66">
        <v>0.13600000000000001</v>
      </c>
      <c r="Y66" s="16"/>
      <c r="Z66" s="16"/>
      <c r="AA66" s="16"/>
      <c r="AB66" s="16"/>
    </row>
    <row r="67" spans="5:30" x14ac:dyDescent="0.15">
      <c r="E67" s="8" t="s">
        <v>219</v>
      </c>
      <c r="F67">
        <v>209</v>
      </c>
      <c r="G67">
        <v>209</v>
      </c>
      <c r="H67" s="8">
        <f>SUM(H64:H66)</f>
        <v>441</v>
      </c>
      <c r="I67" s="8">
        <f>F67/$F$67</f>
        <v>1</v>
      </c>
      <c r="J67">
        <v>1</v>
      </c>
      <c r="S67" s="8" t="s">
        <v>146</v>
      </c>
      <c r="T67">
        <v>106</v>
      </c>
      <c r="U67">
        <v>106</v>
      </c>
      <c r="V67" s="8">
        <f>SUM(V64:V66)</f>
        <v>125</v>
      </c>
      <c r="W67" s="8">
        <f>T67/$T$67</f>
        <v>1</v>
      </c>
      <c r="X67">
        <v>1</v>
      </c>
      <c r="Y67" s="16"/>
      <c r="Z67" s="16"/>
      <c r="AA67" s="16"/>
      <c r="AB67" s="16"/>
    </row>
    <row r="68" spans="5:30" x14ac:dyDescent="0.15">
      <c r="E68" s="13" t="s">
        <v>231</v>
      </c>
      <c r="F68">
        <v>0.80830000000000002</v>
      </c>
      <c r="L68">
        <v>0.37640000000000001</v>
      </c>
      <c r="S68" s="13" t="s">
        <v>222</v>
      </c>
      <c r="T68">
        <v>0.46810000000000002</v>
      </c>
      <c r="Y68" s="15" t="s">
        <v>137</v>
      </c>
      <c r="Z68" s="16">
        <v>0.46120699999999998</v>
      </c>
      <c r="AA68" s="16"/>
      <c r="AB68" s="16"/>
    </row>
    <row r="69" spans="5:30" x14ac:dyDescent="0.15">
      <c r="E69" s="13" t="s">
        <v>223</v>
      </c>
      <c r="F69">
        <v>0.42570000000000002</v>
      </c>
      <c r="L69">
        <v>0.78239999999999998</v>
      </c>
      <c r="S69" s="13" t="s">
        <v>79</v>
      </c>
      <c r="T69">
        <v>1.518</v>
      </c>
      <c r="Y69" s="15" t="s">
        <v>138</v>
      </c>
      <c r="Z69" s="16">
        <v>0.4612</v>
      </c>
      <c r="AA69" s="16"/>
      <c r="AB69" s="16"/>
    </row>
    <row r="70" spans="5:30" x14ac:dyDescent="0.15">
      <c r="AA70" s="16"/>
      <c r="AB70" s="16"/>
    </row>
    <row r="71" spans="5:30" x14ac:dyDescent="0.15">
      <c r="E71" s="10" t="s">
        <v>3016</v>
      </c>
      <c r="F71" t="s">
        <v>3013</v>
      </c>
      <c r="G71" s="6" t="s">
        <v>77</v>
      </c>
      <c r="L71" t="s">
        <v>72</v>
      </c>
      <c r="S71" s="10" t="s">
        <v>3016</v>
      </c>
      <c r="T71" s="8" t="s">
        <v>3013</v>
      </c>
      <c r="U71" s="7" t="s">
        <v>71</v>
      </c>
      <c r="Y71" s="16"/>
      <c r="Z71" s="16"/>
      <c r="AA71" s="16"/>
      <c r="AB71" s="16"/>
    </row>
    <row r="72" spans="5:30" x14ac:dyDescent="0.15">
      <c r="E72" s="8"/>
      <c r="F72" t="s">
        <v>196</v>
      </c>
      <c r="G72" t="s">
        <v>197</v>
      </c>
      <c r="H72" t="s">
        <v>198</v>
      </c>
      <c r="I72" t="s">
        <v>199</v>
      </c>
      <c r="J72" t="s">
        <v>200</v>
      </c>
      <c r="L72" t="s">
        <v>196</v>
      </c>
      <c r="M72" t="s">
        <v>197</v>
      </c>
      <c r="N72" t="s">
        <v>198</v>
      </c>
      <c r="O72" t="s">
        <v>199</v>
      </c>
      <c r="P72" t="s">
        <v>200</v>
      </c>
      <c r="T72" s="8" t="s">
        <v>196</v>
      </c>
      <c r="U72" s="8" t="s">
        <v>197</v>
      </c>
      <c r="V72" s="8" t="s">
        <v>198</v>
      </c>
      <c r="W72" s="8" t="s">
        <v>202</v>
      </c>
      <c r="X72" s="8" t="s">
        <v>200</v>
      </c>
      <c r="Y72" s="16" t="s">
        <v>72</v>
      </c>
      <c r="Z72" s="16" t="s">
        <v>196</v>
      </c>
      <c r="AA72" s="16" t="s">
        <v>197</v>
      </c>
      <c r="AB72" s="16" t="s">
        <v>198</v>
      </c>
      <c r="AC72" s="8" t="s">
        <v>199</v>
      </c>
      <c r="AD72" s="8" t="s">
        <v>200</v>
      </c>
    </row>
    <row r="73" spans="5:30" x14ac:dyDescent="0.15">
      <c r="E73" s="8"/>
      <c r="K73" t="s">
        <v>74</v>
      </c>
      <c r="L73">
        <v>190</v>
      </c>
      <c r="M73" s="31">
        <v>206.2145922746781</v>
      </c>
      <c r="N73">
        <v>429</v>
      </c>
      <c r="O73" s="31">
        <v>0.8482142857142857</v>
      </c>
      <c r="P73" s="31">
        <v>0.92060085836909866</v>
      </c>
      <c r="Y73" s="16" t="s">
        <v>74</v>
      </c>
      <c r="Z73" s="27">
        <f>107-24</f>
        <v>83</v>
      </c>
      <c r="AA73" s="16">
        <f>AD73*107</f>
        <v>98.44</v>
      </c>
      <c r="AB73" s="27">
        <f>125-10</f>
        <v>115</v>
      </c>
      <c r="AC73" s="31">
        <f>Z73/$Z$75</f>
        <v>0.77570093457943923</v>
      </c>
      <c r="AD73">
        <f>AB73/$AB$75</f>
        <v>0.92</v>
      </c>
    </row>
    <row r="74" spans="5:30" x14ac:dyDescent="0.15">
      <c r="E74" s="8" t="s">
        <v>81</v>
      </c>
      <c r="F74">
        <v>41</v>
      </c>
      <c r="G74" s="31">
        <v>38.088578088578089</v>
      </c>
      <c r="H74" s="8">
        <v>86</v>
      </c>
      <c r="J74" s="31">
        <v>0.20046620046620048</v>
      </c>
      <c r="K74" t="s">
        <v>75</v>
      </c>
      <c r="L74">
        <v>34</v>
      </c>
      <c r="M74" s="31">
        <v>17.785407725321889</v>
      </c>
      <c r="N74">
        <v>37</v>
      </c>
      <c r="O74" s="31">
        <v>0.15178571428571427</v>
      </c>
      <c r="P74" s="31">
        <v>7.9399141630901282E-2</v>
      </c>
      <c r="S74" t="s">
        <v>182</v>
      </c>
      <c r="T74">
        <v>23</v>
      </c>
      <c r="U74">
        <v>16.600000000000001</v>
      </c>
      <c r="V74" s="8">
        <v>23</v>
      </c>
      <c r="W74" s="31">
        <f>T74/$T$77</f>
        <v>0.27710843373493976</v>
      </c>
      <c r="X74">
        <v>0.2</v>
      </c>
      <c r="Y74" s="16" t="s">
        <v>75</v>
      </c>
      <c r="Z74" s="27">
        <v>24</v>
      </c>
      <c r="AA74" s="16">
        <f t="shared" ref="AA74:AA75" si="9">AD74*107</f>
        <v>8.56</v>
      </c>
      <c r="AB74" s="27">
        <v>10</v>
      </c>
      <c r="AC74" s="31">
        <f>Z74/$Z$75</f>
        <v>0.22429906542056074</v>
      </c>
      <c r="AD74" s="8">
        <f>AB74/$AB$75</f>
        <v>0.08</v>
      </c>
    </row>
    <row r="75" spans="5:30" x14ac:dyDescent="0.15">
      <c r="E75" s="8" t="s">
        <v>194</v>
      </c>
      <c r="F75">
        <v>144</v>
      </c>
      <c r="G75" s="31">
        <v>137.73892773892774</v>
      </c>
      <c r="H75" s="8">
        <v>311</v>
      </c>
      <c r="J75" s="31">
        <v>0.72494172494172493</v>
      </c>
      <c r="K75" t="s">
        <v>76</v>
      </c>
      <c r="L75">
        <v>224</v>
      </c>
      <c r="M75">
        <v>224</v>
      </c>
      <c r="N75">
        <v>466</v>
      </c>
      <c r="O75">
        <v>1</v>
      </c>
      <c r="P75">
        <v>1</v>
      </c>
      <c r="S75" t="s">
        <v>185</v>
      </c>
      <c r="T75">
        <v>59</v>
      </c>
      <c r="U75" s="31">
        <v>60.626086956521739</v>
      </c>
      <c r="V75" s="8">
        <v>84</v>
      </c>
      <c r="W75" s="31">
        <f>T75/$T$77</f>
        <v>0.71084337349397586</v>
      </c>
      <c r="X75" s="31">
        <v>0.73043478260869565</v>
      </c>
      <c r="Y75" s="16" t="s">
        <v>76</v>
      </c>
      <c r="Z75" s="27">
        <f>Z73+Z74</f>
        <v>107</v>
      </c>
      <c r="AA75" s="16">
        <f t="shared" si="9"/>
        <v>107</v>
      </c>
      <c r="AB75" s="27">
        <f>AB73+AB74</f>
        <v>125</v>
      </c>
      <c r="AC75" s="8">
        <f>Z75/$Z$75</f>
        <v>1</v>
      </c>
      <c r="AD75" s="8">
        <f>AB75/$AB$75</f>
        <v>1</v>
      </c>
    </row>
    <row r="76" spans="5:30" x14ac:dyDescent="0.15">
      <c r="E76" s="8" t="s">
        <v>195</v>
      </c>
      <c r="F76">
        <v>5</v>
      </c>
      <c r="G76" s="31">
        <v>14.172494172494172</v>
      </c>
      <c r="H76" s="8">
        <v>32</v>
      </c>
      <c r="J76" s="31">
        <v>7.4592074592074592E-2</v>
      </c>
      <c r="S76" t="s">
        <v>186</v>
      </c>
      <c r="T76">
        <v>1</v>
      </c>
      <c r="U76" s="31">
        <v>5.7739130434782613</v>
      </c>
      <c r="V76" s="8">
        <v>8</v>
      </c>
      <c r="W76" s="31">
        <f>T76/$T$77</f>
        <v>1.2048192771084338E-2</v>
      </c>
      <c r="X76" s="31">
        <v>6.9565217391304349E-2</v>
      </c>
      <c r="Y76" s="16"/>
      <c r="Z76" s="16"/>
      <c r="AA76" s="16"/>
      <c r="AB76" s="16"/>
    </row>
    <row r="77" spans="5:30" x14ac:dyDescent="0.15">
      <c r="E77" s="8" t="s">
        <v>83</v>
      </c>
      <c r="F77">
        <v>190</v>
      </c>
      <c r="G77">
        <v>190</v>
      </c>
      <c r="H77" s="8">
        <f>SUM(H74:H76)</f>
        <v>429</v>
      </c>
      <c r="J77">
        <v>1</v>
      </c>
      <c r="S77" t="s">
        <v>76</v>
      </c>
      <c r="T77">
        <v>83</v>
      </c>
      <c r="U77">
        <v>83</v>
      </c>
      <c r="V77" s="8">
        <f>SUM(V74:V76)</f>
        <v>115</v>
      </c>
      <c r="W77" s="8">
        <f>T77/$T$77</f>
        <v>1</v>
      </c>
      <c r="X77">
        <v>1</v>
      </c>
      <c r="Y77" s="16"/>
      <c r="Z77" s="16"/>
      <c r="AA77" s="16"/>
      <c r="AB77" s="16"/>
    </row>
    <row r="78" spans="5:30" x14ac:dyDescent="0.15">
      <c r="E78" s="13" t="s">
        <v>231</v>
      </c>
      <c r="F78">
        <v>3.9899999999999998E-2</v>
      </c>
      <c r="L78" t="s">
        <v>78</v>
      </c>
      <c r="S78" s="13" t="s">
        <v>222</v>
      </c>
      <c r="T78">
        <v>3.9600000000000003E-2</v>
      </c>
      <c r="Y78" s="22"/>
      <c r="Z78" s="28" t="s">
        <v>70</v>
      </c>
      <c r="AA78" s="16"/>
      <c r="AB78" s="16"/>
    </row>
    <row r="79" spans="5:30" x14ac:dyDescent="0.15">
      <c r="E79" s="13" t="s">
        <v>223</v>
      </c>
      <c r="F79">
        <v>6.4436</v>
      </c>
      <c r="L79">
        <v>16.057500000000001</v>
      </c>
      <c r="S79" s="13" t="s">
        <v>79</v>
      </c>
      <c r="T79">
        <v>6.4581999999999997</v>
      </c>
      <c r="Y79" s="22"/>
      <c r="Z79" s="24">
        <v>30.3</v>
      </c>
      <c r="AA79" s="16"/>
      <c r="AB79" s="16"/>
    </row>
    <row r="94" spans="20:20" x14ac:dyDescent="0.15">
      <c r="T94" s="16"/>
    </row>
    <row r="95" spans="20:20" x14ac:dyDescent="0.15">
      <c r="T95" s="16"/>
    </row>
  </sheetData>
  <phoneticPr fontId="10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topLeftCell="A66" workbookViewId="0">
      <selection activeCell="L65" sqref="L65"/>
    </sheetView>
  </sheetViews>
  <sheetFormatPr baseColWidth="10" defaultRowHeight="13" x14ac:dyDescent="0.15"/>
  <cols>
    <col min="1" max="1" width="19" bestFit="1" customWidth="1"/>
    <col min="2" max="2" width="17.1640625" bestFit="1" customWidth="1"/>
    <col min="3" max="3" width="20.6640625" bestFit="1" customWidth="1"/>
    <col min="4" max="4" width="16.1640625" bestFit="1" customWidth="1"/>
    <col min="5" max="5" width="19.6640625" bestFit="1" customWidth="1"/>
    <col min="6" max="6" width="19.83203125" bestFit="1" customWidth="1"/>
    <col min="7" max="7" width="23.33203125" bestFit="1" customWidth="1"/>
    <col min="8" max="8" width="19.6640625" bestFit="1" customWidth="1"/>
    <col min="9" max="9" width="23.1640625" bestFit="1" customWidth="1"/>
    <col min="10" max="10" width="15.5" bestFit="1" customWidth="1"/>
    <col min="11" max="11" width="19" bestFit="1" customWidth="1"/>
    <col min="12" max="12" width="11.33203125" bestFit="1" customWidth="1"/>
    <col min="13" max="13" width="21.1640625" bestFit="1" customWidth="1"/>
    <col min="15" max="15" width="25.1640625" bestFit="1" customWidth="1"/>
    <col min="16" max="16" width="12.6640625" bestFit="1" customWidth="1"/>
    <col min="17" max="17" width="17.33203125" bestFit="1" customWidth="1"/>
    <col min="23" max="23" width="16.5" bestFit="1" customWidth="1"/>
  </cols>
  <sheetData>
    <row r="1" spans="1:25" x14ac:dyDescent="0.15">
      <c r="A1" s="10"/>
      <c r="M1" s="13" t="s">
        <v>104</v>
      </c>
      <c r="N1" s="13" t="s">
        <v>171</v>
      </c>
      <c r="O1" s="13" t="s">
        <v>105</v>
      </c>
      <c r="P1" s="13" t="s">
        <v>95</v>
      </c>
    </row>
    <row r="2" spans="1:25" x14ac:dyDescent="0.15">
      <c r="A2" s="10" t="s">
        <v>172</v>
      </c>
    </row>
    <row r="3" spans="1:25" x14ac:dyDescent="0.15">
      <c r="B3" s="14" t="s">
        <v>201</v>
      </c>
      <c r="C3" s="14" t="s">
        <v>203</v>
      </c>
      <c r="D3" s="14" t="s">
        <v>106</v>
      </c>
      <c r="E3" s="14" t="s">
        <v>107</v>
      </c>
      <c r="F3" s="14" t="s">
        <v>108</v>
      </c>
      <c r="G3" s="14" t="s">
        <v>109</v>
      </c>
      <c r="H3" s="14" t="s">
        <v>110</v>
      </c>
      <c r="I3" s="14" t="s">
        <v>111</v>
      </c>
      <c r="J3" s="14" t="s">
        <v>112</v>
      </c>
      <c r="K3" s="14" t="s">
        <v>113</v>
      </c>
    </row>
    <row r="4" spans="1:25" x14ac:dyDescent="0.15">
      <c r="A4" t="s">
        <v>173</v>
      </c>
      <c r="B4" s="8">
        <v>50</v>
      </c>
      <c r="C4">
        <v>0.4</v>
      </c>
      <c r="D4">
        <v>11</v>
      </c>
      <c r="E4" s="32">
        <v>0.36666666666666664</v>
      </c>
      <c r="F4">
        <v>12</v>
      </c>
      <c r="G4">
        <v>0.4</v>
      </c>
      <c r="H4">
        <v>5</v>
      </c>
      <c r="I4" s="32">
        <v>0.22727272727272727</v>
      </c>
      <c r="J4">
        <v>2</v>
      </c>
      <c r="K4" s="32">
        <v>6.6666666666666666E-2</v>
      </c>
    </row>
    <row r="5" spans="1:25" x14ac:dyDescent="0.15">
      <c r="A5" t="s">
        <v>174</v>
      </c>
      <c r="B5" s="8">
        <v>9</v>
      </c>
      <c r="C5">
        <v>7.1999999999999995E-2</v>
      </c>
      <c r="D5">
        <v>4</v>
      </c>
      <c r="E5" s="32">
        <v>0.13333333333333333</v>
      </c>
      <c r="F5">
        <v>4</v>
      </c>
      <c r="G5" s="32">
        <v>0.13333333333333333</v>
      </c>
      <c r="H5">
        <v>0</v>
      </c>
      <c r="I5">
        <v>0</v>
      </c>
      <c r="J5">
        <v>1</v>
      </c>
      <c r="K5" s="32">
        <v>3.3333333333333333E-2</v>
      </c>
      <c r="L5" t="s">
        <v>120</v>
      </c>
      <c r="O5" s="8" t="s">
        <v>86</v>
      </c>
      <c r="Q5" t="s">
        <v>114</v>
      </c>
      <c r="R5" t="s">
        <v>115</v>
      </c>
      <c r="S5" t="s">
        <v>116</v>
      </c>
      <c r="T5" t="s">
        <v>117</v>
      </c>
      <c r="U5" t="s">
        <v>118</v>
      </c>
      <c r="W5" s="13" t="s">
        <v>119</v>
      </c>
      <c r="X5" s="13" t="s">
        <v>88</v>
      </c>
    </row>
    <row r="6" spans="1:25" x14ac:dyDescent="0.15">
      <c r="A6" t="s">
        <v>175</v>
      </c>
      <c r="B6" s="8">
        <v>20</v>
      </c>
      <c r="C6">
        <v>0.16</v>
      </c>
      <c r="D6">
        <v>5</v>
      </c>
      <c r="E6" s="32">
        <v>0.16666666666666666</v>
      </c>
      <c r="F6">
        <v>5</v>
      </c>
      <c r="G6" s="32">
        <v>0.16666666666666666</v>
      </c>
      <c r="H6">
        <v>5</v>
      </c>
      <c r="I6" s="32">
        <v>0.22727272727272727</v>
      </c>
      <c r="J6">
        <v>9</v>
      </c>
      <c r="K6">
        <v>0.3</v>
      </c>
      <c r="O6" s="8" t="s">
        <v>87</v>
      </c>
      <c r="P6" t="s">
        <v>89</v>
      </c>
      <c r="Q6">
        <v>29</v>
      </c>
      <c r="R6">
        <v>9</v>
      </c>
      <c r="S6">
        <v>9</v>
      </c>
      <c r="T6">
        <v>5</v>
      </c>
      <c r="U6">
        <v>10</v>
      </c>
    </row>
    <row r="7" spans="1:25" x14ac:dyDescent="0.15">
      <c r="A7" t="s">
        <v>176</v>
      </c>
      <c r="B7" s="8">
        <v>13</v>
      </c>
      <c r="C7">
        <v>0.104</v>
      </c>
      <c r="D7">
        <v>1</v>
      </c>
      <c r="E7" s="32">
        <v>3.3333333333333333E-2</v>
      </c>
      <c r="F7">
        <v>6</v>
      </c>
      <c r="G7">
        <v>0.2</v>
      </c>
      <c r="H7">
        <v>4</v>
      </c>
      <c r="I7" s="32">
        <v>0.18181818181818182</v>
      </c>
      <c r="J7">
        <v>10</v>
      </c>
      <c r="K7" s="32">
        <v>0.33333333333333331</v>
      </c>
      <c r="P7" t="s">
        <v>90</v>
      </c>
      <c r="Q7">
        <v>36</v>
      </c>
      <c r="R7">
        <v>7</v>
      </c>
      <c r="S7">
        <v>9</v>
      </c>
      <c r="T7">
        <v>8</v>
      </c>
      <c r="U7">
        <v>14</v>
      </c>
      <c r="W7">
        <v>2E-8</v>
      </c>
      <c r="X7">
        <v>0.155</v>
      </c>
      <c r="Y7" t="s">
        <v>91</v>
      </c>
    </row>
    <row r="8" spans="1:25" x14ac:dyDescent="0.15">
      <c r="A8" t="s">
        <v>177</v>
      </c>
      <c r="B8" s="8">
        <v>23</v>
      </c>
      <c r="C8">
        <v>0.184</v>
      </c>
      <c r="D8">
        <v>6</v>
      </c>
      <c r="E8">
        <v>0.2</v>
      </c>
      <c r="F8">
        <v>3</v>
      </c>
      <c r="G8">
        <v>0.1</v>
      </c>
      <c r="H8">
        <v>4</v>
      </c>
      <c r="I8" s="32">
        <v>0.18181818181818182</v>
      </c>
      <c r="J8">
        <v>4</v>
      </c>
      <c r="K8" s="32">
        <v>0.13333333333333333</v>
      </c>
      <c r="P8" t="s">
        <v>92</v>
      </c>
      <c r="Q8">
        <v>27</v>
      </c>
      <c r="R8">
        <v>3</v>
      </c>
      <c r="S8">
        <v>0</v>
      </c>
      <c r="T8">
        <v>4</v>
      </c>
      <c r="U8">
        <v>4</v>
      </c>
    </row>
    <row r="9" spans="1:25" x14ac:dyDescent="0.15">
      <c r="A9" t="s">
        <v>178</v>
      </c>
      <c r="B9" s="8">
        <v>4</v>
      </c>
      <c r="C9">
        <v>3.2000000000000001E-2</v>
      </c>
      <c r="D9">
        <v>1</v>
      </c>
      <c r="E9" s="32">
        <v>3.3333333333333333E-2</v>
      </c>
      <c r="F9">
        <v>0</v>
      </c>
      <c r="G9">
        <v>0</v>
      </c>
      <c r="H9">
        <v>2</v>
      </c>
      <c r="I9" s="32">
        <v>9.0909090909090912E-2</v>
      </c>
      <c r="J9">
        <v>3</v>
      </c>
      <c r="K9">
        <v>0.1</v>
      </c>
    </row>
    <row r="10" spans="1:25" x14ac:dyDescent="0.15">
      <c r="A10" t="s">
        <v>179</v>
      </c>
      <c r="B10" s="8">
        <v>6</v>
      </c>
      <c r="C10">
        <v>4.8000000000000001E-2</v>
      </c>
      <c r="D10">
        <v>2</v>
      </c>
      <c r="E10" s="32">
        <v>6.6666666666666666E-2</v>
      </c>
      <c r="F10">
        <v>0</v>
      </c>
      <c r="G10">
        <v>0</v>
      </c>
      <c r="H10">
        <v>2</v>
      </c>
      <c r="I10" s="32">
        <v>9.0909090909090912E-2</v>
      </c>
      <c r="J10">
        <v>1</v>
      </c>
      <c r="K10" s="32">
        <v>3.3333333333333333E-2</v>
      </c>
    </row>
    <row r="11" spans="1:25" x14ac:dyDescent="0.15">
      <c r="A11" t="s">
        <v>76</v>
      </c>
      <c r="B11">
        <f>SUM(B4:B10)</f>
        <v>125</v>
      </c>
      <c r="C11" s="8">
        <f>SUM(C4:C10)</f>
        <v>1</v>
      </c>
      <c r="D11">
        <v>30</v>
      </c>
      <c r="E11">
        <v>1</v>
      </c>
      <c r="F11">
        <v>30</v>
      </c>
      <c r="G11">
        <v>1</v>
      </c>
      <c r="H11">
        <v>22</v>
      </c>
      <c r="I11">
        <v>1</v>
      </c>
      <c r="J11">
        <v>30</v>
      </c>
      <c r="K11">
        <v>1</v>
      </c>
    </row>
    <row r="12" spans="1:25" s="8" customFormat="1" x14ac:dyDescent="0.15"/>
    <row r="13" spans="1:25" x14ac:dyDescent="0.15">
      <c r="A13" s="10" t="s">
        <v>3018</v>
      </c>
    </row>
    <row r="14" spans="1:25" x14ac:dyDescent="0.15">
      <c r="B14" s="14" t="s">
        <v>102</v>
      </c>
      <c r="C14" s="14" t="s">
        <v>103</v>
      </c>
      <c r="D14" s="14" t="s">
        <v>106</v>
      </c>
      <c r="E14" s="14" t="s">
        <v>107</v>
      </c>
      <c r="F14" s="14" t="s">
        <v>108</v>
      </c>
      <c r="G14" s="14" t="s">
        <v>109</v>
      </c>
      <c r="H14" s="14" t="s">
        <v>110</v>
      </c>
      <c r="I14" s="14" t="s">
        <v>111</v>
      </c>
      <c r="J14" s="14" t="s">
        <v>112</v>
      </c>
      <c r="K14" s="14" t="s">
        <v>113</v>
      </c>
      <c r="L14" s="8" t="s">
        <v>94</v>
      </c>
      <c r="M14">
        <v>13.858000000000001</v>
      </c>
      <c r="N14">
        <v>7.7999999999999996E-3</v>
      </c>
    </row>
    <row r="15" spans="1:25" x14ac:dyDescent="0.15">
      <c r="A15" s="8" t="s">
        <v>96</v>
      </c>
      <c r="B15" s="8">
        <v>50</v>
      </c>
      <c r="C15">
        <f>B15/$B$20</f>
        <v>0.4</v>
      </c>
      <c r="D15" s="8">
        <v>11</v>
      </c>
      <c r="E15" s="32">
        <f>D15/$D$20</f>
        <v>0.36666666666666664</v>
      </c>
      <c r="F15" s="8">
        <v>12</v>
      </c>
      <c r="G15">
        <f>F15/$F$20</f>
        <v>0.4</v>
      </c>
      <c r="H15" s="8">
        <v>5</v>
      </c>
      <c r="I15" s="32">
        <f>H15/$H$20</f>
        <v>0.22727272727272727</v>
      </c>
      <c r="J15" s="8">
        <v>2</v>
      </c>
      <c r="K15" s="32">
        <f>J15/$J$20</f>
        <v>6.6666666666666666E-2</v>
      </c>
    </row>
    <row r="16" spans="1:25" s="8" customFormat="1" x14ac:dyDescent="0.15">
      <c r="A16" s="8" t="s">
        <v>99</v>
      </c>
      <c r="B16" s="8">
        <f>SUM(B17:B19)</f>
        <v>75</v>
      </c>
      <c r="C16" s="8">
        <f t="shared" ref="C16:C19" si="0">B16/$B$20</f>
        <v>0.6</v>
      </c>
      <c r="D16" s="8">
        <v>19</v>
      </c>
      <c r="E16" s="32">
        <f t="shared" ref="E16:E19" si="1">D16/$D$20</f>
        <v>0.6333333333333333</v>
      </c>
      <c r="F16" s="8">
        <v>18</v>
      </c>
      <c r="G16" s="8">
        <f t="shared" ref="G16:G19" si="2">F16/$F$20</f>
        <v>0.6</v>
      </c>
      <c r="H16" s="8">
        <v>17</v>
      </c>
      <c r="I16" s="32">
        <f t="shared" ref="I16:I19" si="3">H16/$H$20</f>
        <v>0.77272727272727271</v>
      </c>
      <c r="J16" s="8">
        <v>28</v>
      </c>
      <c r="K16" s="32">
        <f t="shared" ref="K16:K19" si="4">J16/$J$20</f>
        <v>0.93333333333333335</v>
      </c>
      <c r="L16" t="s">
        <v>3024</v>
      </c>
      <c r="M16"/>
      <c r="N16"/>
      <c r="O16" s="8">
        <v>6.1830000000000005E-8</v>
      </c>
      <c r="P16" s="8">
        <v>9.6500000000000002E-2</v>
      </c>
      <c r="Q16"/>
    </row>
    <row r="17" spans="1:16" x14ac:dyDescent="0.15">
      <c r="A17" s="8" t="s">
        <v>97</v>
      </c>
      <c r="B17" s="8">
        <v>37</v>
      </c>
      <c r="C17" s="8">
        <f t="shared" si="0"/>
        <v>0.29599999999999999</v>
      </c>
      <c r="D17" s="8">
        <v>11</v>
      </c>
      <c r="E17" s="32">
        <f t="shared" si="1"/>
        <v>0.36666666666666664</v>
      </c>
      <c r="F17" s="8">
        <v>14</v>
      </c>
      <c r="G17" s="32">
        <f t="shared" si="2"/>
        <v>0.46666666666666667</v>
      </c>
      <c r="H17" s="8">
        <v>7</v>
      </c>
      <c r="I17" s="32">
        <f t="shared" si="3"/>
        <v>0.31818181818181818</v>
      </c>
      <c r="J17" s="8">
        <v>9</v>
      </c>
      <c r="K17" s="8">
        <f t="shared" si="4"/>
        <v>0.3</v>
      </c>
    </row>
    <row r="18" spans="1:16" x14ac:dyDescent="0.15">
      <c r="A18" s="8" t="s">
        <v>140</v>
      </c>
      <c r="B18" s="8">
        <v>31</v>
      </c>
      <c r="C18" s="8">
        <f t="shared" si="0"/>
        <v>0.248</v>
      </c>
      <c r="D18" s="8">
        <v>6</v>
      </c>
      <c r="E18" s="8">
        <f t="shared" si="1"/>
        <v>0.2</v>
      </c>
      <c r="F18" s="8">
        <v>4</v>
      </c>
      <c r="G18" s="32">
        <f t="shared" si="2"/>
        <v>0.13333333333333333</v>
      </c>
      <c r="H18" s="8">
        <v>10</v>
      </c>
      <c r="I18" s="32">
        <f t="shared" si="3"/>
        <v>0.45454545454545453</v>
      </c>
      <c r="J18" s="8">
        <v>16</v>
      </c>
      <c r="K18" s="32">
        <f t="shared" si="4"/>
        <v>0.53333333333333333</v>
      </c>
    </row>
    <row r="19" spans="1:16" x14ac:dyDescent="0.15">
      <c r="A19" s="8" t="s">
        <v>141</v>
      </c>
      <c r="B19" s="8">
        <v>7</v>
      </c>
      <c r="C19" s="8">
        <f t="shared" si="0"/>
        <v>5.6000000000000001E-2</v>
      </c>
      <c r="D19" s="8">
        <v>2</v>
      </c>
      <c r="E19" s="32">
        <f t="shared" si="1"/>
        <v>6.6666666666666666E-2</v>
      </c>
      <c r="F19" s="8">
        <v>0</v>
      </c>
      <c r="G19" s="8">
        <f t="shared" si="2"/>
        <v>0</v>
      </c>
      <c r="H19" s="8">
        <v>0</v>
      </c>
      <c r="I19" s="8">
        <f t="shared" si="3"/>
        <v>0</v>
      </c>
      <c r="J19" s="8">
        <v>3</v>
      </c>
      <c r="K19" s="8">
        <f t="shared" si="4"/>
        <v>0.1</v>
      </c>
    </row>
    <row r="20" spans="1:16" x14ac:dyDescent="0.15">
      <c r="A20" s="8" t="s">
        <v>98</v>
      </c>
      <c r="B20">
        <v>125</v>
      </c>
      <c r="C20" s="8"/>
      <c r="D20">
        <v>30</v>
      </c>
      <c r="E20" s="8"/>
      <c r="F20">
        <v>30</v>
      </c>
      <c r="G20" s="8"/>
      <c r="H20">
        <v>22</v>
      </c>
      <c r="I20" s="8"/>
      <c r="J20">
        <v>30</v>
      </c>
      <c r="K20" s="8"/>
    </row>
    <row r="22" spans="1:16" x14ac:dyDescent="0.15">
      <c r="A22" s="10" t="s">
        <v>181</v>
      </c>
    </row>
    <row r="23" spans="1:16" x14ac:dyDescent="0.15">
      <c r="B23" s="14" t="s">
        <v>201</v>
      </c>
      <c r="C23" s="14" t="s">
        <v>203</v>
      </c>
      <c r="D23" s="14" t="s">
        <v>106</v>
      </c>
      <c r="E23" s="14" t="s">
        <v>107</v>
      </c>
      <c r="F23" s="14" t="s">
        <v>108</v>
      </c>
      <c r="G23" s="14" t="s">
        <v>109</v>
      </c>
      <c r="H23" s="14" t="s">
        <v>110</v>
      </c>
      <c r="I23" s="14" t="s">
        <v>111</v>
      </c>
      <c r="J23" s="14" t="s">
        <v>112</v>
      </c>
      <c r="K23" s="14" t="s">
        <v>113</v>
      </c>
    </row>
    <row r="24" spans="1:16" x14ac:dyDescent="0.15">
      <c r="A24" t="s">
        <v>173</v>
      </c>
      <c r="B24" s="8">
        <v>101</v>
      </c>
      <c r="C24">
        <v>0.80800000000000005</v>
      </c>
      <c r="D24">
        <v>19</v>
      </c>
      <c r="E24" s="32">
        <v>0.6333333333333333</v>
      </c>
      <c r="F24">
        <v>25</v>
      </c>
      <c r="G24" s="32">
        <v>0.83333333333333337</v>
      </c>
      <c r="H24">
        <v>16</v>
      </c>
      <c r="I24" s="32">
        <v>0.72727272727272729</v>
      </c>
      <c r="J24">
        <v>19</v>
      </c>
      <c r="K24" s="32">
        <v>0.6333333333333333</v>
      </c>
    </row>
    <row r="25" spans="1:16" x14ac:dyDescent="0.15">
      <c r="A25" t="s">
        <v>174</v>
      </c>
      <c r="B25" s="8">
        <v>10</v>
      </c>
      <c r="C25">
        <v>0.08</v>
      </c>
      <c r="D25">
        <v>2</v>
      </c>
      <c r="E25" s="32">
        <v>6.6666666666666666E-2</v>
      </c>
      <c r="F25">
        <v>3</v>
      </c>
      <c r="G25">
        <v>0.1</v>
      </c>
      <c r="H25">
        <v>1</v>
      </c>
      <c r="I25" s="32">
        <v>4.5454545454545456E-2</v>
      </c>
      <c r="J25">
        <v>6</v>
      </c>
      <c r="K25">
        <v>0.2</v>
      </c>
      <c r="L25" t="s">
        <v>120</v>
      </c>
      <c r="O25">
        <v>8.5700000000000001E-4</v>
      </c>
      <c r="P25">
        <v>0.27010000000000001</v>
      </c>
    </row>
    <row r="26" spans="1:16" x14ac:dyDescent="0.15">
      <c r="A26" t="s">
        <v>175</v>
      </c>
      <c r="B26" s="8">
        <v>14</v>
      </c>
      <c r="C26">
        <v>0.112</v>
      </c>
      <c r="D26">
        <v>9</v>
      </c>
      <c r="E26">
        <v>0.3</v>
      </c>
      <c r="F26">
        <v>2</v>
      </c>
      <c r="G26" s="32">
        <v>6.6666666666666666E-2</v>
      </c>
      <c r="H26">
        <v>5</v>
      </c>
      <c r="I26" s="32">
        <v>0.22727272727272727</v>
      </c>
      <c r="J26">
        <v>5</v>
      </c>
      <c r="K26" s="32">
        <v>0.16666666666666666</v>
      </c>
    </row>
    <row r="27" spans="1:16" x14ac:dyDescent="0.15">
      <c r="A27" t="s">
        <v>76</v>
      </c>
      <c r="B27">
        <v>125</v>
      </c>
      <c r="C27">
        <f>SUM(C24:C26)</f>
        <v>1</v>
      </c>
      <c r="D27">
        <v>30</v>
      </c>
      <c r="E27">
        <v>1</v>
      </c>
      <c r="F27">
        <v>30</v>
      </c>
      <c r="G27">
        <v>1</v>
      </c>
      <c r="H27">
        <v>22</v>
      </c>
      <c r="I27">
        <v>1</v>
      </c>
      <c r="J27">
        <v>30</v>
      </c>
      <c r="K27">
        <v>1</v>
      </c>
    </row>
    <row r="29" spans="1:16" x14ac:dyDescent="0.15">
      <c r="A29" s="10" t="s">
        <v>3020</v>
      </c>
    </row>
    <row r="30" spans="1:16" x14ac:dyDescent="0.15">
      <c r="B30" s="14" t="s">
        <v>102</v>
      </c>
      <c r="C30" s="14" t="s">
        <v>103</v>
      </c>
      <c r="D30" s="14" t="s">
        <v>106</v>
      </c>
      <c r="E30" s="14" t="s">
        <v>107</v>
      </c>
      <c r="F30" s="14" t="s">
        <v>108</v>
      </c>
      <c r="G30" s="14" t="s">
        <v>109</v>
      </c>
      <c r="H30" s="14" t="s">
        <v>110</v>
      </c>
      <c r="I30" s="14" t="s">
        <v>111</v>
      </c>
      <c r="J30" s="14" t="s">
        <v>112</v>
      </c>
      <c r="K30" s="14" t="s">
        <v>113</v>
      </c>
      <c r="L30" s="8" t="s">
        <v>94</v>
      </c>
      <c r="M30">
        <v>7.859</v>
      </c>
      <c r="N30">
        <v>9.69E-2</v>
      </c>
    </row>
    <row r="31" spans="1:16" x14ac:dyDescent="0.15">
      <c r="A31" s="8" t="s">
        <v>96</v>
      </c>
      <c r="B31" s="8">
        <v>101</v>
      </c>
      <c r="C31">
        <f>B31/$B$35</f>
        <v>0.80800000000000005</v>
      </c>
      <c r="D31">
        <v>19</v>
      </c>
      <c r="E31" s="32">
        <v>0.6333333333333333</v>
      </c>
      <c r="F31">
        <v>25</v>
      </c>
      <c r="G31" s="32">
        <v>0.83333333333333337</v>
      </c>
      <c r="H31">
        <v>16</v>
      </c>
      <c r="I31" s="32">
        <v>0.72727272727272729</v>
      </c>
      <c r="J31">
        <v>19</v>
      </c>
      <c r="K31" s="32">
        <v>0.6333333333333333</v>
      </c>
    </row>
    <row r="32" spans="1:16" s="8" customFormat="1" x14ac:dyDescent="0.15">
      <c r="A32" s="8" t="s">
        <v>100</v>
      </c>
      <c r="B32" s="8">
        <v>24</v>
      </c>
      <c r="C32" s="8">
        <f t="shared" ref="C32:C34" si="5">B32/$B$35</f>
        <v>0.192</v>
      </c>
      <c r="D32" s="8">
        <v>11</v>
      </c>
      <c r="E32" s="32">
        <f>D32/D35</f>
        <v>0.36666666666666664</v>
      </c>
      <c r="F32" s="8">
        <v>5</v>
      </c>
      <c r="G32" s="32">
        <f>F32/F35</f>
        <v>0.16666666666666666</v>
      </c>
      <c r="H32" s="8">
        <v>6</v>
      </c>
      <c r="I32" s="32">
        <f>H32/H35</f>
        <v>0.27272727272727271</v>
      </c>
      <c r="J32" s="8">
        <v>11</v>
      </c>
      <c r="K32" s="32">
        <f>J32/J35</f>
        <v>0.36666666666666664</v>
      </c>
      <c r="L32" s="8" t="s">
        <v>3024</v>
      </c>
      <c r="M32"/>
      <c r="N32"/>
      <c r="O32">
        <v>4.1910000000000003E-3</v>
      </c>
      <c r="P32">
        <v>0.72009999999999996</v>
      </c>
    </row>
    <row r="33" spans="1:16" x14ac:dyDescent="0.15">
      <c r="A33" t="s">
        <v>182</v>
      </c>
      <c r="B33" s="8">
        <v>10</v>
      </c>
      <c r="C33" s="8">
        <f t="shared" si="5"/>
        <v>0.08</v>
      </c>
      <c r="D33">
        <v>2</v>
      </c>
      <c r="E33" s="32">
        <v>6.6666666666666666E-2</v>
      </c>
      <c r="F33">
        <v>2</v>
      </c>
      <c r="G33" s="32">
        <v>6.6666666666666666E-2</v>
      </c>
      <c r="H33">
        <v>2</v>
      </c>
      <c r="I33" s="32">
        <v>9.0909090909090912E-2</v>
      </c>
      <c r="J33">
        <v>3</v>
      </c>
      <c r="K33">
        <v>0.1</v>
      </c>
    </row>
    <row r="34" spans="1:16" x14ac:dyDescent="0.15">
      <c r="A34" t="s">
        <v>180</v>
      </c>
      <c r="B34" s="8">
        <v>14</v>
      </c>
      <c r="C34" s="8">
        <f t="shared" si="5"/>
        <v>0.112</v>
      </c>
      <c r="D34">
        <v>9</v>
      </c>
      <c r="E34">
        <v>0.3</v>
      </c>
      <c r="F34">
        <v>3</v>
      </c>
      <c r="G34">
        <v>0.1</v>
      </c>
      <c r="H34">
        <v>4</v>
      </c>
      <c r="I34" s="32">
        <v>0.18181818181818182</v>
      </c>
      <c r="J34">
        <v>8</v>
      </c>
      <c r="K34" s="32">
        <v>0.26666666666666666</v>
      </c>
    </row>
    <row r="35" spans="1:16" x14ac:dyDescent="0.15">
      <c r="A35" t="s">
        <v>76</v>
      </c>
      <c r="B35">
        <v>125</v>
      </c>
      <c r="D35">
        <v>30</v>
      </c>
      <c r="F35">
        <v>30</v>
      </c>
      <c r="H35">
        <v>22</v>
      </c>
      <c r="J35">
        <v>30</v>
      </c>
    </row>
    <row r="37" spans="1:16" x14ac:dyDescent="0.15">
      <c r="A37" s="10" t="s">
        <v>3025</v>
      </c>
    </row>
    <row r="38" spans="1:16" x14ac:dyDescent="0.15">
      <c r="B38" s="14" t="s">
        <v>102</v>
      </c>
      <c r="C38" s="14" t="s">
        <v>103</v>
      </c>
      <c r="D38" s="14" t="s">
        <v>106</v>
      </c>
      <c r="E38" s="14" t="s">
        <v>107</v>
      </c>
      <c r="F38" s="14" t="s">
        <v>108</v>
      </c>
      <c r="G38" s="14" t="s">
        <v>109</v>
      </c>
      <c r="H38" s="14" t="s">
        <v>110</v>
      </c>
      <c r="I38" s="14" t="s">
        <v>111</v>
      </c>
      <c r="J38" s="14" t="s">
        <v>112</v>
      </c>
      <c r="K38" s="14" t="s">
        <v>113</v>
      </c>
      <c r="L38" s="8" t="s">
        <v>94</v>
      </c>
      <c r="M38">
        <v>19.305</v>
      </c>
      <c r="N38">
        <v>6.9999999999999999E-4</v>
      </c>
    </row>
    <row r="39" spans="1:16" x14ac:dyDescent="0.15">
      <c r="A39" s="8" t="s">
        <v>96</v>
      </c>
      <c r="B39" s="8">
        <v>54</v>
      </c>
      <c r="C39">
        <v>0.432</v>
      </c>
      <c r="D39">
        <v>24</v>
      </c>
      <c r="E39">
        <v>0.8</v>
      </c>
      <c r="F39">
        <v>8</v>
      </c>
      <c r="G39" s="32">
        <v>0.26666666666666666</v>
      </c>
      <c r="H39">
        <v>12</v>
      </c>
      <c r="I39" s="32">
        <v>0.54545454545454541</v>
      </c>
      <c r="J39">
        <v>14</v>
      </c>
      <c r="K39" s="32">
        <v>0.46666666666666667</v>
      </c>
    </row>
    <row r="40" spans="1:16" s="8" customFormat="1" x14ac:dyDescent="0.15">
      <c r="A40" s="8" t="s">
        <v>100</v>
      </c>
      <c r="B40" s="8">
        <v>71</v>
      </c>
      <c r="C40" s="8">
        <f>B40/B43</f>
        <v>0.56799999999999995</v>
      </c>
      <c r="D40" s="8">
        <v>6</v>
      </c>
      <c r="E40" s="8">
        <v>0.2</v>
      </c>
      <c r="F40" s="8">
        <v>22</v>
      </c>
      <c r="G40" s="32">
        <v>0.73333333333299999</v>
      </c>
      <c r="H40" s="8">
        <v>10</v>
      </c>
      <c r="I40" s="32">
        <f>H40/H43</f>
        <v>0.45454545454545453</v>
      </c>
      <c r="J40" s="8">
        <v>16</v>
      </c>
      <c r="K40" s="32">
        <v>0.53333333333300004</v>
      </c>
      <c r="L40" t="s">
        <v>3024</v>
      </c>
      <c r="M40"/>
      <c r="N40"/>
      <c r="O40">
        <v>9.1613E-2</v>
      </c>
      <c r="P40">
        <v>0.33119999999999999</v>
      </c>
    </row>
    <row r="41" spans="1:16" x14ac:dyDescent="0.15">
      <c r="A41" t="s">
        <v>182</v>
      </c>
      <c r="B41" s="8">
        <v>70</v>
      </c>
      <c r="C41" s="8">
        <v>0.56000000000000005</v>
      </c>
      <c r="D41">
        <v>6</v>
      </c>
      <c r="E41">
        <v>0.2</v>
      </c>
      <c r="F41">
        <v>22</v>
      </c>
      <c r="G41" s="32">
        <v>0.73333333333333328</v>
      </c>
      <c r="H41">
        <v>9</v>
      </c>
      <c r="I41" s="32">
        <v>0.40909090909090912</v>
      </c>
      <c r="J41">
        <v>16</v>
      </c>
      <c r="K41" s="32">
        <v>0.53333333333333333</v>
      </c>
    </row>
    <row r="42" spans="1:16" x14ac:dyDescent="0.15">
      <c r="A42" t="s">
        <v>183</v>
      </c>
      <c r="B42" s="8">
        <v>1</v>
      </c>
      <c r="C42">
        <v>8.0000000000000002E-3</v>
      </c>
      <c r="D42">
        <v>0</v>
      </c>
      <c r="E42">
        <v>0</v>
      </c>
      <c r="F42">
        <v>0</v>
      </c>
      <c r="G42">
        <v>0</v>
      </c>
      <c r="H42">
        <v>1</v>
      </c>
      <c r="I42" s="32">
        <v>4.5454545454545456E-2</v>
      </c>
      <c r="J42">
        <v>0</v>
      </c>
      <c r="K42">
        <v>0</v>
      </c>
    </row>
    <row r="43" spans="1:16" x14ac:dyDescent="0.15">
      <c r="A43" t="s">
        <v>76</v>
      </c>
      <c r="B43">
        <v>125</v>
      </c>
      <c r="D43">
        <v>30</v>
      </c>
      <c r="E43">
        <v>1</v>
      </c>
      <c r="F43">
        <v>30</v>
      </c>
      <c r="G43">
        <v>1</v>
      </c>
      <c r="H43">
        <v>22</v>
      </c>
      <c r="I43">
        <v>1</v>
      </c>
      <c r="J43">
        <v>30</v>
      </c>
      <c r="K43">
        <v>1</v>
      </c>
    </row>
    <row r="45" spans="1:16" x14ac:dyDescent="0.15">
      <c r="A45" s="10" t="s">
        <v>3026</v>
      </c>
    </row>
    <row r="46" spans="1:16" x14ac:dyDescent="0.15">
      <c r="B46" s="14" t="s">
        <v>201</v>
      </c>
      <c r="C46" s="14" t="s">
        <v>203</v>
      </c>
      <c r="D46" s="14" t="s">
        <v>106</v>
      </c>
      <c r="E46" s="14" t="s">
        <v>107</v>
      </c>
      <c r="F46" s="14" t="s">
        <v>108</v>
      </c>
      <c r="G46" s="14" t="s">
        <v>109</v>
      </c>
      <c r="H46" s="14" t="s">
        <v>110</v>
      </c>
      <c r="I46" s="14" t="s">
        <v>111</v>
      </c>
      <c r="J46" s="14" t="s">
        <v>112</v>
      </c>
      <c r="K46" s="14" t="s">
        <v>113</v>
      </c>
      <c r="L46" s="8" t="s">
        <v>94</v>
      </c>
      <c r="M46">
        <v>3.2879999999999998</v>
      </c>
      <c r="N46">
        <v>0.51080000000000003</v>
      </c>
    </row>
    <row r="47" spans="1:16" x14ac:dyDescent="0.15">
      <c r="A47" s="8" t="s">
        <v>101</v>
      </c>
      <c r="B47" s="8">
        <v>28</v>
      </c>
      <c r="C47">
        <f>B47/$B$51</f>
        <v>0.224</v>
      </c>
      <c r="D47">
        <v>5</v>
      </c>
      <c r="E47" s="32">
        <v>0.16666666666666666</v>
      </c>
      <c r="F47">
        <v>4</v>
      </c>
      <c r="G47" s="32">
        <v>0.13333333333333333</v>
      </c>
      <c r="H47">
        <v>4</v>
      </c>
      <c r="I47" s="32">
        <v>0.18181818181818182</v>
      </c>
      <c r="J47">
        <v>3</v>
      </c>
      <c r="K47">
        <v>0.1</v>
      </c>
    </row>
    <row r="48" spans="1:16" s="8" customFormat="1" x14ac:dyDescent="0.15">
      <c r="A48" s="8" t="s">
        <v>100</v>
      </c>
      <c r="B48" s="8">
        <v>97</v>
      </c>
      <c r="C48" s="8">
        <f t="shared" ref="C48:C50" si="6">B48/$B$51</f>
        <v>0.77600000000000002</v>
      </c>
      <c r="D48" s="8">
        <v>25</v>
      </c>
      <c r="E48" s="32">
        <v>0.83333333333329995</v>
      </c>
      <c r="F48" s="8">
        <v>26</v>
      </c>
      <c r="G48" s="32">
        <v>0.86666666666666603</v>
      </c>
      <c r="H48" s="8">
        <v>18</v>
      </c>
      <c r="I48" s="32">
        <f>H48/H51</f>
        <v>0.81818181818181823</v>
      </c>
      <c r="J48" s="8">
        <v>27</v>
      </c>
      <c r="K48" s="8">
        <v>0.9</v>
      </c>
      <c r="L48" t="s">
        <v>3024</v>
      </c>
      <c r="M48"/>
      <c r="N48"/>
      <c r="O48">
        <v>1.655E-3</v>
      </c>
      <c r="P48">
        <v>0.55100000000000005</v>
      </c>
    </row>
    <row r="49" spans="1:16" x14ac:dyDescent="0.15">
      <c r="A49" t="s">
        <v>182</v>
      </c>
      <c r="B49" s="8">
        <v>87</v>
      </c>
      <c r="C49" s="8">
        <f t="shared" si="6"/>
        <v>0.69599999999999995</v>
      </c>
      <c r="D49">
        <v>24</v>
      </c>
      <c r="E49">
        <v>0.8</v>
      </c>
      <c r="F49">
        <v>24</v>
      </c>
      <c r="G49">
        <v>0.8</v>
      </c>
      <c r="H49">
        <v>16</v>
      </c>
      <c r="I49" s="32">
        <v>0.72727272727272729</v>
      </c>
      <c r="J49">
        <v>22</v>
      </c>
      <c r="K49" s="32">
        <v>0.73333333333333328</v>
      </c>
    </row>
    <row r="50" spans="1:16" x14ac:dyDescent="0.15">
      <c r="A50" t="s">
        <v>184</v>
      </c>
      <c r="B50" s="8">
        <v>10</v>
      </c>
      <c r="C50" s="8">
        <f t="shared" si="6"/>
        <v>0.08</v>
      </c>
      <c r="D50">
        <v>1</v>
      </c>
      <c r="E50" s="32">
        <v>3.3333333333333333E-2</v>
      </c>
      <c r="F50">
        <v>2</v>
      </c>
      <c r="G50" s="32">
        <v>6.6666666666666666E-2</v>
      </c>
      <c r="H50">
        <v>2</v>
      </c>
      <c r="I50" s="32">
        <v>9.0909090909090912E-2</v>
      </c>
      <c r="J50">
        <v>5</v>
      </c>
      <c r="K50" s="32">
        <v>0.16666666666666666</v>
      </c>
    </row>
    <row r="51" spans="1:16" x14ac:dyDescent="0.15">
      <c r="A51" t="s">
        <v>76</v>
      </c>
      <c r="B51">
        <f>SUM(B47,B49,B50)</f>
        <v>125</v>
      </c>
      <c r="D51">
        <v>30</v>
      </c>
      <c r="E51">
        <v>1</v>
      </c>
      <c r="F51">
        <v>30</v>
      </c>
      <c r="G51">
        <v>1</v>
      </c>
      <c r="H51">
        <v>22</v>
      </c>
      <c r="I51">
        <v>1</v>
      </c>
      <c r="J51">
        <v>30</v>
      </c>
      <c r="K51">
        <v>1</v>
      </c>
    </row>
    <row r="53" spans="1:16" x14ac:dyDescent="0.15">
      <c r="A53" s="10" t="s">
        <v>3027</v>
      </c>
    </row>
    <row r="54" spans="1:16" x14ac:dyDescent="0.15">
      <c r="B54" s="14" t="s">
        <v>201</v>
      </c>
      <c r="C54" s="14" t="s">
        <v>203</v>
      </c>
      <c r="D54" s="14" t="s">
        <v>106</v>
      </c>
      <c r="E54" s="14" t="s">
        <v>107</v>
      </c>
      <c r="F54" s="14" t="s">
        <v>108</v>
      </c>
      <c r="G54" s="14" t="s">
        <v>109</v>
      </c>
      <c r="H54" s="14" t="s">
        <v>110</v>
      </c>
      <c r="I54" s="14" t="s">
        <v>111</v>
      </c>
      <c r="J54" s="14" t="s">
        <v>112</v>
      </c>
      <c r="K54" s="14" t="s">
        <v>113</v>
      </c>
      <c r="L54" s="8" t="s">
        <v>94</v>
      </c>
      <c r="M54" t="s">
        <v>35</v>
      </c>
    </row>
    <row r="55" spans="1:16" x14ac:dyDescent="0.15">
      <c r="A55" t="s">
        <v>170</v>
      </c>
      <c r="B55" s="8">
        <v>0</v>
      </c>
      <c r="C55">
        <f>B55/$B$60</f>
        <v>0</v>
      </c>
      <c r="D55" s="8">
        <v>0</v>
      </c>
      <c r="E55">
        <f>D55/$D$60</f>
        <v>0</v>
      </c>
      <c r="F55" s="8">
        <v>0</v>
      </c>
      <c r="G55">
        <v>0</v>
      </c>
      <c r="H55" s="8">
        <v>0</v>
      </c>
      <c r="I55">
        <f>H55/$H$60</f>
        <v>0</v>
      </c>
      <c r="J55" s="8">
        <v>0</v>
      </c>
      <c r="K55">
        <f>J55/$J$60</f>
        <v>0</v>
      </c>
    </row>
    <row r="56" spans="1:16" s="8" customFormat="1" x14ac:dyDescent="0.15">
      <c r="A56" s="8" t="s">
        <v>100</v>
      </c>
      <c r="B56" s="8">
        <f>B57+B58+B59</f>
        <v>125</v>
      </c>
      <c r="C56" s="8">
        <f>B56/$B$60</f>
        <v>1</v>
      </c>
      <c r="D56" s="8">
        <v>30</v>
      </c>
      <c r="E56" s="8">
        <f t="shared" ref="E56:E59" si="7">D56/$D$60</f>
        <v>1</v>
      </c>
      <c r="F56" s="8">
        <v>30</v>
      </c>
      <c r="G56" s="8">
        <v>1</v>
      </c>
      <c r="H56" s="8">
        <v>22</v>
      </c>
      <c r="I56" s="8">
        <f t="shared" ref="I56:I59" si="8">H56/$H$60</f>
        <v>1</v>
      </c>
      <c r="J56" s="8">
        <v>30</v>
      </c>
      <c r="K56" s="8">
        <f t="shared" ref="K56:K59" si="9">J56/$J$60</f>
        <v>1</v>
      </c>
      <c r="L56" t="s">
        <v>3024</v>
      </c>
      <c r="O56" s="8">
        <v>1.4790000000000001E-5</v>
      </c>
      <c r="P56" s="8">
        <v>0.71389999999999998</v>
      </c>
    </row>
    <row r="57" spans="1:16" x14ac:dyDescent="0.15">
      <c r="A57" s="8" t="s">
        <v>139</v>
      </c>
      <c r="B57" s="8">
        <v>4</v>
      </c>
      <c r="C57" s="8">
        <f>D57/$I$15</f>
        <v>8.8000000000000007</v>
      </c>
      <c r="D57" s="8">
        <v>2</v>
      </c>
      <c r="E57" s="32">
        <f t="shared" si="7"/>
        <v>6.6666666666666666E-2</v>
      </c>
      <c r="F57" s="8">
        <v>1</v>
      </c>
      <c r="G57" s="32">
        <f>F57/$F$60</f>
        <v>3.3333333333333333E-2</v>
      </c>
      <c r="H57" s="8">
        <v>0</v>
      </c>
      <c r="I57" s="8">
        <f t="shared" si="8"/>
        <v>0</v>
      </c>
      <c r="J57" s="8">
        <v>0</v>
      </c>
      <c r="K57" s="8">
        <f t="shared" si="9"/>
        <v>0</v>
      </c>
    </row>
    <row r="58" spans="1:16" x14ac:dyDescent="0.15">
      <c r="A58" s="8" t="s">
        <v>147</v>
      </c>
      <c r="B58" s="8">
        <v>104</v>
      </c>
      <c r="C58" s="8">
        <f t="shared" ref="C58:C59" si="10">D58/$I$15</f>
        <v>114.4</v>
      </c>
      <c r="D58" s="8">
        <v>26</v>
      </c>
      <c r="E58" s="32">
        <f t="shared" si="7"/>
        <v>0.8666666666666667</v>
      </c>
      <c r="F58" s="8">
        <v>26</v>
      </c>
      <c r="G58" s="32">
        <f t="shared" ref="G58:G59" si="11">F58/$F$60</f>
        <v>0.8666666666666667</v>
      </c>
      <c r="H58" s="8">
        <v>18</v>
      </c>
      <c r="I58" s="32">
        <f t="shared" si="8"/>
        <v>0.81818181818181823</v>
      </c>
      <c r="J58" s="8">
        <v>24</v>
      </c>
      <c r="K58" s="8">
        <f t="shared" si="9"/>
        <v>0.8</v>
      </c>
    </row>
    <row r="59" spans="1:16" x14ac:dyDescent="0.15">
      <c r="A59" s="8" t="s">
        <v>141</v>
      </c>
      <c r="B59" s="8">
        <v>17</v>
      </c>
      <c r="C59" s="8">
        <f t="shared" si="10"/>
        <v>8.8000000000000007</v>
      </c>
      <c r="D59" s="8">
        <v>2</v>
      </c>
      <c r="E59" s="32">
        <f t="shared" si="7"/>
        <v>6.6666666666666666E-2</v>
      </c>
      <c r="F59" s="8">
        <v>3</v>
      </c>
      <c r="G59" s="8">
        <f t="shared" si="11"/>
        <v>0.1</v>
      </c>
      <c r="H59" s="8">
        <v>4</v>
      </c>
      <c r="I59" s="32">
        <f t="shared" si="8"/>
        <v>0.18181818181818182</v>
      </c>
      <c r="J59" s="8">
        <v>6</v>
      </c>
      <c r="K59" s="8">
        <f t="shared" si="9"/>
        <v>0.2</v>
      </c>
    </row>
    <row r="60" spans="1:16" x14ac:dyDescent="0.15">
      <c r="A60" s="8" t="s">
        <v>146</v>
      </c>
      <c r="B60">
        <v>125</v>
      </c>
      <c r="D60">
        <v>30</v>
      </c>
      <c r="F60">
        <v>30</v>
      </c>
      <c r="H60">
        <v>22</v>
      </c>
      <c r="J60">
        <v>30</v>
      </c>
    </row>
    <row r="62" spans="1:16" x14ac:dyDescent="0.15">
      <c r="A62" s="10" t="s">
        <v>3028</v>
      </c>
    </row>
    <row r="63" spans="1:16" x14ac:dyDescent="0.15">
      <c r="B63" s="8" t="s">
        <v>201</v>
      </c>
      <c r="C63" s="8" t="s">
        <v>203</v>
      </c>
      <c r="D63" t="s">
        <v>106</v>
      </c>
      <c r="E63" t="s">
        <v>107</v>
      </c>
      <c r="F63" t="s">
        <v>108</v>
      </c>
      <c r="G63" t="s">
        <v>109</v>
      </c>
      <c r="H63" t="s">
        <v>110</v>
      </c>
      <c r="I63" t="s">
        <v>111</v>
      </c>
      <c r="J63" t="s">
        <v>112</v>
      </c>
      <c r="K63" t="s">
        <v>113</v>
      </c>
      <c r="L63" s="8" t="s">
        <v>93</v>
      </c>
      <c r="O63">
        <v>5.5199999999999997E-4</v>
      </c>
      <c r="P63">
        <v>0.3528</v>
      </c>
    </row>
    <row r="64" spans="1:16" x14ac:dyDescent="0.15">
      <c r="A64" t="s">
        <v>170</v>
      </c>
      <c r="B64" s="8">
        <v>10</v>
      </c>
      <c r="C64">
        <f>B64/B$69</f>
        <v>0.08</v>
      </c>
      <c r="D64" s="8">
        <v>6</v>
      </c>
      <c r="E64">
        <f>D64/D$69</f>
        <v>0.2</v>
      </c>
      <c r="F64" s="8">
        <v>4</v>
      </c>
      <c r="G64" s="32">
        <f>F64/$F$69</f>
        <v>0.13333333333333333</v>
      </c>
      <c r="H64" s="8">
        <v>2</v>
      </c>
      <c r="I64" s="32">
        <f>H64/$H$69</f>
        <v>9.0909090909090912E-2</v>
      </c>
      <c r="J64" s="8">
        <v>4</v>
      </c>
      <c r="K64" s="32">
        <f>J64/$J$69</f>
        <v>0.13333333333333333</v>
      </c>
    </row>
    <row r="65" spans="1:16" x14ac:dyDescent="0.15">
      <c r="A65" s="8" t="s">
        <v>100</v>
      </c>
      <c r="B65" s="8">
        <f>SUM(B66:B68)</f>
        <v>115</v>
      </c>
      <c r="C65" s="8">
        <f>B65/B$69</f>
        <v>0.92</v>
      </c>
      <c r="D65" s="8">
        <v>24</v>
      </c>
      <c r="E65" s="8">
        <f>D65/D$69</f>
        <v>0.8</v>
      </c>
      <c r="F65" s="8">
        <v>26</v>
      </c>
      <c r="G65" s="32">
        <f>F65/$F$69</f>
        <v>0.8666666666666667</v>
      </c>
      <c r="H65" s="8">
        <v>20</v>
      </c>
      <c r="I65" s="32">
        <f>H65/$H$69</f>
        <v>0.90909090909090906</v>
      </c>
      <c r="J65" s="8">
        <v>26</v>
      </c>
      <c r="K65" s="32">
        <f>J65/$J$69</f>
        <v>0.8666666666666667</v>
      </c>
      <c r="L65" t="s">
        <v>3024</v>
      </c>
      <c r="M65" s="8"/>
      <c r="N65" s="8"/>
      <c r="O65" s="8">
        <v>1.201E-7</v>
      </c>
      <c r="P65" s="8">
        <v>0.1895</v>
      </c>
    </row>
    <row r="66" spans="1:16" s="8" customFormat="1" x14ac:dyDescent="0.15">
      <c r="A66" t="s">
        <v>182</v>
      </c>
      <c r="B66" s="8">
        <v>23</v>
      </c>
      <c r="C66" s="8">
        <f>B66/B$69</f>
        <v>0.184</v>
      </c>
      <c r="D66" s="8">
        <v>6</v>
      </c>
      <c r="E66" s="8">
        <f>D66/D$69</f>
        <v>0.2</v>
      </c>
      <c r="F66" s="8">
        <v>5</v>
      </c>
      <c r="G66" s="32">
        <f>F66/$F$69</f>
        <v>0.16666666666666666</v>
      </c>
      <c r="H66" s="8">
        <v>0</v>
      </c>
      <c r="I66" s="8">
        <f>H66/$H$69</f>
        <v>0</v>
      </c>
      <c r="J66" s="8">
        <v>3</v>
      </c>
      <c r="K66" s="8">
        <f>J66/$J$69</f>
        <v>0.1</v>
      </c>
      <c r="L66"/>
      <c r="M66"/>
      <c r="N66"/>
      <c r="O66"/>
      <c r="P66"/>
    </row>
    <row r="67" spans="1:16" x14ac:dyDescent="0.15">
      <c r="A67" t="s">
        <v>185</v>
      </c>
      <c r="B67" s="8">
        <v>84</v>
      </c>
      <c r="C67" s="8">
        <f>B67/B$69</f>
        <v>0.67200000000000004</v>
      </c>
      <c r="D67" s="8">
        <v>15</v>
      </c>
      <c r="E67" s="8">
        <f>D67/D$69</f>
        <v>0.5</v>
      </c>
      <c r="F67" s="8">
        <v>18</v>
      </c>
      <c r="G67" s="8">
        <f>F67/$F$69</f>
        <v>0.6</v>
      </c>
      <c r="H67" s="8">
        <v>16</v>
      </c>
      <c r="I67" s="32">
        <f>H67/$H$69</f>
        <v>0.72727272727272729</v>
      </c>
      <c r="J67" s="8">
        <v>21</v>
      </c>
      <c r="K67" s="8">
        <f>J67/$J$69</f>
        <v>0.7</v>
      </c>
    </row>
    <row r="68" spans="1:16" x14ac:dyDescent="0.15">
      <c r="A68" t="s">
        <v>186</v>
      </c>
      <c r="B68" s="8">
        <v>8</v>
      </c>
      <c r="C68" s="8">
        <f>B68/B$69</f>
        <v>6.4000000000000001E-2</v>
      </c>
      <c r="D68" s="8">
        <v>3</v>
      </c>
      <c r="E68" s="8">
        <f>D68/D$69</f>
        <v>0.1</v>
      </c>
      <c r="F68" s="8">
        <v>3</v>
      </c>
      <c r="G68" s="8">
        <f>F68/$F$69</f>
        <v>0.1</v>
      </c>
      <c r="H68" s="8">
        <v>4</v>
      </c>
      <c r="I68" s="32">
        <f>H68/$H$69</f>
        <v>0.18181818181818182</v>
      </c>
      <c r="J68" s="8">
        <v>2</v>
      </c>
      <c r="K68" s="32">
        <f>J68/$J$69</f>
        <v>6.6666666666666666E-2</v>
      </c>
    </row>
    <row r="69" spans="1:16" x14ac:dyDescent="0.15">
      <c r="A69" t="s">
        <v>76</v>
      </c>
      <c r="B69">
        <v>125</v>
      </c>
      <c r="D69">
        <v>30</v>
      </c>
      <c r="F69">
        <v>30</v>
      </c>
      <c r="H69">
        <v>22</v>
      </c>
      <c r="J69">
        <v>30</v>
      </c>
    </row>
    <row r="71" spans="1:16" x14ac:dyDescent="0.15">
      <c r="A71" s="8" t="s">
        <v>3021</v>
      </c>
    </row>
    <row r="72" spans="1:16" x14ac:dyDescent="0.15">
      <c r="A72" s="8" t="s">
        <v>3022</v>
      </c>
    </row>
    <row r="73" spans="1:16" x14ac:dyDescent="0.15">
      <c r="A73" s="8" t="s">
        <v>3023</v>
      </c>
    </row>
  </sheetData>
  <phoneticPr fontId="10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L26" sqref="L26"/>
    </sheetView>
  </sheetViews>
  <sheetFormatPr baseColWidth="10" defaultRowHeight="13" x14ac:dyDescent="0.15"/>
  <cols>
    <col min="1" max="1" width="16.5" bestFit="1" customWidth="1"/>
    <col min="3" max="3" width="17.5" customWidth="1"/>
    <col min="5" max="5" width="9.33203125" bestFit="1" customWidth="1"/>
    <col min="7" max="7" width="9.83203125" bestFit="1" customWidth="1"/>
    <col min="8" max="8" width="13.5" bestFit="1" customWidth="1"/>
    <col min="9" max="9" width="13.1640625" bestFit="1" customWidth="1"/>
  </cols>
  <sheetData>
    <row r="1" spans="1:12" x14ac:dyDescent="0.15">
      <c r="A1" s="8" t="s">
        <v>46</v>
      </c>
      <c r="B1" s="8"/>
      <c r="C1" s="8" t="s">
        <v>47</v>
      </c>
      <c r="D1" s="8" t="s">
        <v>48</v>
      </c>
      <c r="E1" s="8" t="s">
        <v>47</v>
      </c>
      <c r="F1" s="8" t="s">
        <v>48</v>
      </c>
      <c r="G1" s="8" t="s">
        <v>49</v>
      </c>
      <c r="H1" s="8" t="s">
        <v>50</v>
      </c>
      <c r="I1" s="8" t="s">
        <v>51</v>
      </c>
      <c r="J1" s="8" t="s">
        <v>52</v>
      </c>
    </row>
    <row r="2" spans="1:12" x14ac:dyDescent="0.15">
      <c r="A2" s="8"/>
      <c r="B2" s="8"/>
      <c r="C2" s="8" t="s">
        <v>53</v>
      </c>
      <c r="D2" s="8" t="s">
        <v>53</v>
      </c>
      <c r="E2" s="8" t="s">
        <v>54</v>
      </c>
      <c r="F2" s="8" t="s">
        <v>54</v>
      </c>
      <c r="G2" s="8" t="s">
        <v>54</v>
      </c>
      <c r="H2" s="8" t="s">
        <v>54</v>
      </c>
      <c r="I2" s="8" t="s">
        <v>54</v>
      </c>
      <c r="J2" s="8" t="s">
        <v>54</v>
      </c>
    </row>
    <row r="3" spans="1:12" x14ac:dyDescent="0.15">
      <c r="A3" s="10" t="s">
        <v>55</v>
      </c>
      <c r="B3" s="8"/>
      <c r="C3" s="10">
        <f>SUM(C4,C5)</f>
        <v>118</v>
      </c>
      <c r="D3" s="10">
        <f t="shared" ref="D3:J3" si="0">SUM(D4,D5)</f>
        <v>365</v>
      </c>
      <c r="E3" s="10">
        <f t="shared" si="0"/>
        <v>51</v>
      </c>
      <c r="F3" s="10">
        <f t="shared" si="0"/>
        <v>95</v>
      </c>
      <c r="G3" s="10">
        <f t="shared" si="0"/>
        <v>21</v>
      </c>
      <c r="H3" s="10">
        <f t="shared" si="0"/>
        <v>22</v>
      </c>
      <c r="I3" s="10">
        <f t="shared" si="0"/>
        <v>15</v>
      </c>
      <c r="J3" s="10">
        <f t="shared" si="0"/>
        <v>26</v>
      </c>
      <c r="L3" s="8" t="s">
        <v>38</v>
      </c>
    </row>
    <row r="4" spans="1:12" x14ac:dyDescent="0.15">
      <c r="A4" s="8" t="s">
        <v>2586</v>
      </c>
      <c r="B4" s="8"/>
      <c r="C4" s="8">
        <v>105</v>
      </c>
      <c r="D4" s="8">
        <v>190</v>
      </c>
      <c r="E4" s="8">
        <v>51</v>
      </c>
      <c r="F4" s="8">
        <v>85</v>
      </c>
      <c r="G4" s="8">
        <v>19</v>
      </c>
      <c r="H4" s="8">
        <v>20</v>
      </c>
      <c r="I4" s="8">
        <v>11</v>
      </c>
      <c r="J4" s="8">
        <v>22</v>
      </c>
      <c r="L4" s="8" t="s">
        <v>39</v>
      </c>
    </row>
    <row r="5" spans="1:12" x14ac:dyDescent="0.15">
      <c r="A5" s="8" t="s">
        <v>2536</v>
      </c>
      <c r="B5" s="8"/>
      <c r="C5" s="8">
        <v>13</v>
      </c>
      <c r="D5" s="8">
        <v>175</v>
      </c>
      <c r="E5" s="8">
        <v>0</v>
      </c>
      <c r="F5" s="8">
        <v>10</v>
      </c>
      <c r="G5" s="8">
        <v>2</v>
      </c>
      <c r="H5" s="8">
        <v>2</v>
      </c>
      <c r="I5" s="8">
        <v>4</v>
      </c>
      <c r="J5" s="8">
        <v>4</v>
      </c>
    </row>
    <row r="6" spans="1:12" x14ac:dyDescent="0.15">
      <c r="A6" s="10" t="s">
        <v>56</v>
      </c>
      <c r="B6" s="8"/>
      <c r="C6" s="10">
        <f>SUM(C7:C19)</f>
        <v>70</v>
      </c>
      <c r="D6" s="10">
        <f t="shared" ref="D6:J6" si="1">SUM(D7:D19)</f>
        <v>71</v>
      </c>
      <c r="E6" s="10">
        <f t="shared" si="1"/>
        <v>35</v>
      </c>
      <c r="F6" s="10">
        <f t="shared" si="1"/>
        <v>25</v>
      </c>
      <c r="G6" s="10">
        <f t="shared" si="1"/>
        <v>6</v>
      </c>
      <c r="H6" s="10">
        <f t="shared" si="1"/>
        <v>7</v>
      </c>
      <c r="I6" s="10">
        <f t="shared" si="1"/>
        <v>6</v>
      </c>
      <c r="J6" s="10">
        <f t="shared" si="1"/>
        <v>2</v>
      </c>
      <c r="L6" s="8" t="s">
        <v>41</v>
      </c>
    </row>
    <row r="7" spans="1:12" x14ac:dyDescent="0.15">
      <c r="A7" s="8" t="s">
        <v>724</v>
      </c>
      <c r="B7" s="8"/>
      <c r="C7" s="8">
        <v>7</v>
      </c>
      <c r="D7" s="8">
        <v>9</v>
      </c>
      <c r="E7" s="8">
        <v>5</v>
      </c>
      <c r="F7" s="8">
        <v>5</v>
      </c>
      <c r="G7" s="8">
        <v>4</v>
      </c>
      <c r="H7" s="8">
        <v>1</v>
      </c>
      <c r="I7" s="8">
        <v>1</v>
      </c>
      <c r="J7" s="8">
        <v>1</v>
      </c>
      <c r="L7" s="8" t="s">
        <v>39</v>
      </c>
    </row>
    <row r="8" spans="1:12" x14ac:dyDescent="0.15">
      <c r="A8" s="8" t="s">
        <v>2448</v>
      </c>
      <c r="B8" s="8"/>
      <c r="C8" s="8">
        <v>1</v>
      </c>
      <c r="D8" s="8">
        <v>8</v>
      </c>
      <c r="E8" s="8">
        <v>0</v>
      </c>
      <c r="F8" s="8">
        <v>0</v>
      </c>
      <c r="G8" s="8">
        <v>0</v>
      </c>
      <c r="H8" s="8">
        <v>1</v>
      </c>
      <c r="I8" s="8">
        <v>0</v>
      </c>
      <c r="J8" s="8">
        <v>0</v>
      </c>
    </row>
    <row r="9" spans="1:12" x14ac:dyDescent="0.15">
      <c r="A9" s="8" t="s">
        <v>663</v>
      </c>
      <c r="B9" s="8"/>
      <c r="C9" s="8">
        <v>0</v>
      </c>
      <c r="D9" s="8">
        <v>1</v>
      </c>
      <c r="E9" s="8">
        <v>0</v>
      </c>
      <c r="F9" s="8">
        <v>1</v>
      </c>
      <c r="G9" s="8">
        <v>0</v>
      </c>
      <c r="H9" s="8">
        <v>1</v>
      </c>
      <c r="I9" s="8">
        <v>0</v>
      </c>
      <c r="J9" s="8">
        <v>0</v>
      </c>
      <c r="L9" s="8" t="s">
        <v>42</v>
      </c>
    </row>
    <row r="10" spans="1:12" x14ac:dyDescent="0.15">
      <c r="A10" s="8" t="s">
        <v>57</v>
      </c>
      <c r="B10" s="8"/>
      <c r="C10" s="8">
        <v>1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L10" s="8" t="s">
        <v>40</v>
      </c>
    </row>
    <row r="11" spans="1:12" x14ac:dyDescent="0.15">
      <c r="A11" s="8" t="s">
        <v>58</v>
      </c>
      <c r="B11" s="8"/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2" x14ac:dyDescent="0.15">
      <c r="A12" s="8" t="s">
        <v>2467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</row>
    <row r="13" spans="1:12" x14ac:dyDescent="0.15">
      <c r="A13" s="8" t="s">
        <v>2509</v>
      </c>
      <c r="B13" s="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</row>
    <row r="14" spans="1:12" x14ac:dyDescent="0.15">
      <c r="A14" s="8" t="s">
        <v>59</v>
      </c>
      <c r="B14" s="8"/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2" x14ac:dyDescent="0.15">
      <c r="A15" s="8" t="s">
        <v>1680</v>
      </c>
      <c r="B15" s="8"/>
      <c r="C15" s="8">
        <v>7</v>
      </c>
      <c r="D15" s="8">
        <v>23</v>
      </c>
      <c r="E15" s="8">
        <v>0</v>
      </c>
      <c r="F15" s="8">
        <v>1</v>
      </c>
      <c r="G15" s="8">
        <v>0</v>
      </c>
      <c r="H15" s="8">
        <v>1</v>
      </c>
      <c r="I15" s="8">
        <v>1</v>
      </c>
      <c r="J15" s="8">
        <v>0</v>
      </c>
    </row>
    <row r="16" spans="1:12" x14ac:dyDescent="0.15">
      <c r="A16" s="8" t="s">
        <v>1721</v>
      </c>
      <c r="B16" s="8"/>
      <c r="C16" s="8">
        <v>50</v>
      </c>
      <c r="D16" s="8">
        <v>28</v>
      </c>
      <c r="E16" s="8">
        <v>29</v>
      </c>
      <c r="F16" s="8">
        <v>18</v>
      </c>
      <c r="G16" s="8">
        <v>2</v>
      </c>
      <c r="H16" s="8">
        <v>2</v>
      </c>
      <c r="I16" s="8">
        <v>2</v>
      </c>
      <c r="J16" s="8">
        <v>0</v>
      </c>
    </row>
    <row r="17" spans="1:10" x14ac:dyDescent="0.15">
      <c r="A17" s="8" t="s">
        <v>1151</v>
      </c>
      <c r="B17" s="8"/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</row>
    <row r="18" spans="1:10" x14ac:dyDescent="0.15">
      <c r="A18" s="8" t="s">
        <v>60</v>
      </c>
      <c r="B18" s="8"/>
      <c r="C18" s="8"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15">
      <c r="A19" s="8" t="s">
        <v>61</v>
      </c>
      <c r="B19" s="8"/>
      <c r="C19" s="8">
        <v>0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x14ac:dyDescent="0.15">
      <c r="A20" s="10" t="s">
        <v>62</v>
      </c>
      <c r="B20" s="8"/>
      <c r="C20" s="10">
        <f>SUM(C21:C31)</f>
        <v>36</v>
      </c>
      <c r="D20" s="10">
        <f t="shared" ref="D20:J20" si="2">SUM(D21:D31)</f>
        <v>30</v>
      </c>
      <c r="E20" s="10">
        <f t="shared" si="2"/>
        <v>21</v>
      </c>
      <c r="F20" s="10">
        <f t="shared" si="2"/>
        <v>5</v>
      </c>
      <c r="G20" s="10">
        <f t="shared" si="2"/>
        <v>3</v>
      </c>
      <c r="H20" s="10">
        <f t="shared" si="2"/>
        <v>1</v>
      </c>
      <c r="I20" s="10">
        <f t="shared" si="2"/>
        <v>1</v>
      </c>
      <c r="J20" s="10">
        <f t="shared" si="2"/>
        <v>2</v>
      </c>
    </row>
    <row r="21" spans="1:10" x14ac:dyDescent="0.15">
      <c r="A21" s="8" t="s">
        <v>63</v>
      </c>
      <c r="B21" s="8"/>
      <c r="C21" s="8">
        <v>1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x14ac:dyDescent="0.15">
      <c r="A22" s="8" t="s">
        <v>2424</v>
      </c>
      <c r="B22" s="8"/>
      <c r="C22" s="8">
        <v>3</v>
      </c>
      <c r="D22" s="8">
        <v>1</v>
      </c>
      <c r="E22" s="8">
        <v>3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</row>
    <row r="23" spans="1:10" x14ac:dyDescent="0.15">
      <c r="A23" s="8" t="s">
        <v>64</v>
      </c>
      <c r="B23" s="8"/>
      <c r="C23" s="8">
        <v>8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x14ac:dyDescent="0.15">
      <c r="A24" s="8" t="s">
        <v>2163</v>
      </c>
      <c r="B24" s="8"/>
      <c r="C24" s="8">
        <v>15</v>
      </c>
      <c r="D24" s="8">
        <v>4</v>
      </c>
      <c r="E24" s="8">
        <v>15</v>
      </c>
      <c r="F24" s="8">
        <v>4</v>
      </c>
      <c r="G24" s="8">
        <v>2</v>
      </c>
      <c r="H24" s="8">
        <v>0</v>
      </c>
      <c r="I24" s="8">
        <v>0</v>
      </c>
      <c r="J24" s="8">
        <v>1</v>
      </c>
    </row>
    <row r="25" spans="1:10" x14ac:dyDescent="0.15">
      <c r="A25" s="8" t="s">
        <v>1703</v>
      </c>
      <c r="B25" s="8"/>
      <c r="C25" s="8">
        <v>2</v>
      </c>
      <c r="D25" s="8">
        <v>8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x14ac:dyDescent="0.15">
      <c r="A26" s="8" t="s">
        <v>2574</v>
      </c>
      <c r="B26" s="8"/>
      <c r="C26" s="8">
        <v>4</v>
      </c>
      <c r="D26" s="8">
        <v>6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x14ac:dyDescent="0.15">
      <c r="A27" s="8" t="s">
        <v>65</v>
      </c>
      <c r="B27" s="8"/>
      <c r="C27" s="8">
        <v>0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x14ac:dyDescent="0.15">
      <c r="A28" s="8" t="s">
        <v>66</v>
      </c>
      <c r="B28" s="8"/>
      <c r="C28" s="8">
        <v>1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x14ac:dyDescent="0.15">
      <c r="A29" s="8" t="s">
        <v>67</v>
      </c>
      <c r="B29" s="8"/>
      <c r="C29" s="8">
        <v>1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x14ac:dyDescent="0.15">
      <c r="A30" s="8" t="s">
        <v>68</v>
      </c>
      <c r="B30" s="8"/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x14ac:dyDescent="0.15">
      <c r="A31" s="8" t="s">
        <v>69</v>
      </c>
      <c r="B31" s="8"/>
      <c r="C31" s="8">
        <v>0</v>
      </c>
      <c r="D31" s="8">
        <v>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x14ac:dyDescent="0.15">
      <c r="A32" s="8"/>
      <c r="B32" s="8"/>
      <c r="D32" s="8"/>
      <c r="G32" s="8"/>
      <c r="H32" s="8"/>
      <c r="I32" s="8"/>
      <c r="J32" s="8"/>
    </row>
    <row r="33" spans="1:10" x14ac:dyDescent="0.15">
      <c r="A33" s="8" t="s">
        <v>43</v>
      </c>
      <c r="D33" s="8"/>
      <c r="I33" s="8"/>
      <c r="J33" s="8"/>
    </row>
    <row r="34" spans="1:10" x14ac:dyDescent="0.15">
      <c r="A34" s="8" t="s">
        <v>3029</v>
      </c>
      <c r="C34" s="8"/>
      <c r="D34" s="8"/>
      <c r="E34" s="8"/>
      <c r="F34" s="8"/>
      <c r="G34" s="8"/>
      <c r="H34" s="8"/>
      <c r="I34" s="8"/>
      <c r="J34" s="8"/>
    </row>
    <row r="35" spans="1:10" x14ac:dyDescent="0.15">
      <c r="A35" s="30" t="s">
        <v>37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15">
      <c r="A36" s="8" t="s">
        <v>3030</v>
      </c>
    </row>
    <row r="37" spans="1:10" x14ac:dyDescent="0.15">
      <c r="A37" s="8" t="s">
        <v>3031</v>
      </c>
    </row>
    <row r="38" spans="1:10" x14ac:dyDescent="0.15">
      <c r="A38" t="s">
        <v>18</v>
      </c>
    </row>
  </sheetData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Paleoburn</vt:lpstr>
      <vt:lpstr>Anvil Points</vt:lpstr>
      <vt:lpstr>Kishenehn Beetles</vt:lpstr>
      <vt:lpstr>Claudia's Place Beetles</vt:lpstr>
      <vt:lpstr>Stewart Valley</vt:lpstr>
      <vt:lpstr>Florissant</vt:lpstr>
      <vt:lpstr>Statistics and Chi-Squared 1</vt:lpstr>
      <vt:lpstr>Statistics and Chi-Squared 2</vt:lpstr>
      <vt:lpstr>Articulation Analysis</vt:lpstr>
      <vt:lpstr>Body Area Analysis</vt:lpstr>
    </vt:vector>
  </TitlesOfParts>
  <Company>Virginia Polytechnical Institute and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Anderson</dc:creator>
  <cp:lastModifiedBy>Microsoft Office User</cp:lastModifiedBy>
  <dcterms:created xsi:type="dcterms:W3CDTF">2012-08-23T19:13:37Z</dcterms:created>
  <dcterms:modified xsi:type="dcterms:W3CDTF">2016-04-06T19:41:51Z</dcterms:modified>
</cp:coreProperties>
</file>